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elarveosakond\oma\Eelarve\2023 ea seadus\Eelarved\"/>
    </mc:Choice>
  </mc:AlternateContent>
  <xr:revisionPtr revIDLastSave="0" documentId="13_ncr:1_{A0B1CA05-26AF-4F33-A697-810F725DB69D}" xr6:coauthVersionLast="47" xr6:coauthVersionMax="47" xr10:uidLastSave="{00000000-0000-0000-0000-000000000000}"/>
  <bookViews>
    <workbookView xWindow="-108" yWindow="-108" windowWidth="23256" windowHeight="12576" xr2:uid="{02849E9D-899A-4D4B-B48B-64D635C8A879}"/>
  </bookViews>
  <sheets>
    <sheet name="Lisa 1 MKM" sheetId="1" r:id="rId1"/>
  </sheets>
  <definedNames>
    <definedName name="_xlnm._FilterDatabase" localSheetId="0" hidden="1">'Lisa 1 MKM'!$A$15:$P$387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8" i="1" l="1"/>
  <c r="O370" i="1"/>
  <c r="O353" i="1" s="1"/>
  <c r="P370" i="1"/>
  <c r="O371" i="1"/>
  <c r="O354" i="1"/>
  <c r="O355" i="1"/>
  <c r="O275" i="1"/>
  <c r="O267" i="1" s="1"/>
  <c r="O269" i="1"/>
  <c r="O233" i="1"/>
  <c r="O229" i="1" s="1"/>
  <c r="O230" i="1"/>
  <c r="O199" i="1"/>
  <c r="O196" i="1" s="1"/>
  <c r="O197" i="1"/>
  <c r="O175" i="1"/>
  <c r="O173" i="1"/>
  <c r="O106" i="1"/>
  <c r="O100" i="1" s="1"/>
  <c r="O101" i="1"/>
  <c r="P384" i="1"/>
  <c r="P376" i="1"/>
  <c r="P377" i="1"/>
  <c r="P58" i="1"/>
  <c r="P59" i="1"/>
  <c r="P178" i="1"/>
  <c r="P223" i="1"/>
  <c r="P350" i="1"/>
  <c r="P356" i="1"/>
  <c r="P357" i="1"/>
  <c r="P358" i="1"/>
  <c r="P354" i="1" s="1"/>
  <c r="P359" i="1"/>
  <c r="P360" i="1"/>
  <c r="P361" i="1"/>
  <c r="P362" i="1"/>
  <c r="P363" i="1"/>
  <c r="P364" i="1"/>
  <c r="P365" i="1"/>
  <c r="P366" i="1"/>
  <c r="P367" i="1"/>
  <c r="P368" i="1"/>
  <c r="P369" i="1"/>
  <c r="P372" i="1"/>
  <c r="P371" i="1" s="1"/>
  <c r="P373" i="1"/>
  <c r="P374" i="1"/>
  <c r="P375" i="1"/>
  <c r="O12" i="1"/>
  <c r="N12" i="1"/>
  <c r="P355" i="1" l="1"/>
  <c r="P353" i="1"/>
  <c r="O268" i="1"/>
  <c r="O171" i="1"/>
  <c r="O172" i="1"/>
  <c r="O99" i="1"/>
  <c r="N355" i="1"/>
  <c r="N10" i="1" l="1"/>
  <c r="N8" i="1"/>
  <c r="N9" i="1" s="1"/>
  <c r="N24" i="1"/>
  <c r="N63" i="1"/>
  <c r="N354" i="1"/>
  <c r="N371" i="1"/>
  <c r="H371" i="1"/>
  <c r="I371" i="1"/>
  <c r="J371" i="1"/>
  <c r="K371" i="1"/>
  <c r="L371" i="1"/>
  <c r="M371" i="1"/>
  <c r="G371" i="1"/>
  <c r="H370" i="1"/>
  <c r="I370" i="1"/>
  <c r="J370" i="1"/>
  <c r="J355" i="1" s="1"/>
  <c r="K370" i="1"/>
  <c r="K355" i="1" s="1"/>
  <c r="L370" i="1"/>
  <c r="L353" i="1" s="1"/>
  <c r="M370" i="1"/>
  <c r="N370" i="1"/>
  <c r="G370" i="1"/>
  <c r="G354" i="1"/>
  <c r="H354" i="1"/>
  <c r="I354" i="1"/>
  <c r="J354" i="1"/>
  <c r="K354" i="1"/>
  <c r="L354" i="1"/>
  <c r="M354" i="1"/>
  <c r="I353" i="1" l="1"/>
  <c r="H355" i="1"/>
  <c r="M353" i="1"/>
  <c r="K353" i="1"/>
  <c r="J353" i="1"/>
  <c r="G355" i="1"/>
  <c r="H353" i="1"/>
  <c r="L355" i="1"/>
  <c r="M355" i="1"/>
  <c r="I355" i="1"/>
  <c r="N353" i="1"/>
  <c r="G353" i="1"/>
  <c r="N18" i="1" l="1"/>
  <c r="L349" i="1"/>
  <c r="J349" i="1"/>
  <c r="P349" i="1" s="1"/>
  <c r="L343" i="1"/>
  <c r="J343" i="1"/>
  <c r="P343" i="1" s="1"/>
  <c r="L329" i="1"/>
  <c r="J329" i="1"/>
  <c r="P329" i="1" s="1"/>
  <c r="L322" i="1"/>
  <c r="J322" i="1"/>
  <c r="P322" i="1" s="1"/>
  <c r="L310" i="1"/>
  <c r="J310" i="1"/>
  <c r="P310" i="1" s="1"/>
  <c r="L301" i="1"/>
  <c r="J301" i="1"/>
  <c r="P301" i="1" s="1"/>
  <c r="L283" i="1"/>
  <c r="J283" i="1"/>
  <c r="P283" i="1" s="1"/>
  <c r="L239" i="1"/>
  <c r="L252" i="1"/>
  <c r="L263" i="1"/>
  <c r="J263" i="1"/>
  <c r="P263" i="1" s="1"/>
  <c r="J252" i="1"/>
  <c r="P252" i="1" s="1"/>
  <c r="J239" i="1"/>
  <c r="P239" i="1" s="1"/>
  <c r="L203" i="1"/>
  <c r="L210" i="1"/>
  <c r="L222" i="1"/>
  <c r="J222" i="1"/>
  <c r="P222" i="1" s="1"/>
  <c r="J210" i="1"/>
  <c r="P210" i="1" s="1"/>
  <c r="J203" i="1"/>
  <c r="P203" i="1" s="1"/>
  <c r="L182" i="1"/>
  <c r="L191" i="1"/>
  <c r="J191" i="1"/>
  <c r="P191" i="1" s="1"/>
  <c r="J182" i="1"/>
  <c r="P182" i="1" s="1"/>
  <c r="L122" i="1" l="1"/>
  <c r="L168" i="1"/>
  <c r="J168" i="1"/>
  <c r="P168" i="1" s="1"/>
  <c r="L161" i="1"/>
  <c r="J161" i="1"/>
  <c r="P161" i="1" s="1"/>
  <c r="L155" i="1"/>
  <c r="J155" i="1"/>
  <c r="P155" i="1" s="1"/>
  <c r="L144" i="1"/>
  <c r="J144" i="1"/>
  <c r="P144" i="1" s="1"/>
  <c r="L137" i="1"/>
  <c r="J137" i="1"/>
  <c r="P137" i="1" s="1"/>
  <c r="J122" i="1"/>
  <c r="P122" i="1" s="1"/>
  <c r="J111" i="1"/>
  <c r="P111" i="1" s="1"/>
  <c r="L91" i="1"/>
  <c r="L77" i="1"/>
  <c r="L69" i="1"/>
  <c r="L57" i="1"/>
  <c r="J91" i="1"/>
  <c r="P91" i="1" s="1"/>
  <c r="J77" i="1"/>
  <c r="P77" i="1" s="1"/>
  <c r="J69" i="1"/>
  <c r="P69" i="1" s="1"/>
  <c r="J57" i="1"/>
  <c r="P57" i="1" s="1"/>
  <c r="L50" i="1"/>
  <c r="J50" i="1"/>
  <c r="P50" i="1" s="1"/>
  <c r="L39" i="1"/>
  <c r="J40" i="1"/>
  <c r="P40" i="1" s="1"/>
  <c r="J41" i="1"/>
  <c r="P41" i="1" s="1"/>
  <c r="J39" i="1"/>
  <c r="P39" i="1" s="1"/>
  <c r="K378" i="1" l="1"/>
  <c r="L378" i="1"/>
  <c r="M378" i="1"/>
  <c r="N378" i="1"/>
  <c r="K275" i="1"/>
  <c r="K268" i="1" s="1"/>
  <c r="L275" i="1"/>
  <c r="L267" i="1" s="1"/>
  <c r="M275" i="1"/>
  <c r="M268" i="1" s="1"/>
  <c r="N275" i="1"/>
  <c r="N267" i="1" s="1"/>
  <c r="K269" i="1"/>
  <c r="L269" i="1"/>
  <c r="M269" i="1"/>
  <c r="N269" i="1"/>
  <c r="K233" i="1"/>
  <c r="K229" i="1" s="1"/>
  <c r="L233" i="1"/>
  <c r="L229" i="1" s="1"/>
  <c r="M233" i="1"/>
  <c r="M229" i="1" s="1"/>
  <c r="N233" i="1"/>
  <c r="N229" i="1" s="1"/>
  <c r="K230" i="1"/>
  <c r="L230" i="1"/>
  <c r="M230" i="1"/>
  <c r="N230" i="1"/>
  <c r="K199" i="1"/>
  <c r="K196" i="1" s="1"/>
  <c r="L199" i="1"/>
  <c r="L196" i="1" s="1"/>
  <c r="M199" i="1"/>
  <c r="M196" i="1" s="1"/>
  <c r="N199" i="1"/>
  <c r="N196" i="1" s="1"/>
  <c r="K197" i="1"/>
  <c r="L197" i="1"/>
  <c r="M197" i="1"/>
  <c r="N197" i="1"/>
  <c r="K175" i="1"/>
  <c r="K172" i="1" s="1"/>
  <c r="L175" i="1"/>
  <c r="L172" i="1" s="1"/>
  <c r="M175" i="1"/>
  <c r="N175" i="1"/>
  <c r="N172" i="1" s="1"/>
  <c r="K173" i="1"/>
  <c r="L173" i="1"/>
  <c r="M173" i="1"/>
  <c r="N173" i="1"/>
  <c r="K106" i="1"/>
  <c r="K100" i="1" s="1"/>
  <c r="L106" i="1"/>
  <c r="L100" i="1" s="1"/>
  <c r="M106" i="1"/>
  <c r="M100" i="1" s="1"/>
  <c r="N106" i="1"/>
  <c r="N100" i="1" s="1"/>
  <c r="K101" i="1"/>
  <c r="L101" i="1"/>
  <c r="M101" i="1"/>
  <c r="N101" i="1"/>
  <c r="K34" i="1"/>
  <c r="K33" i="1" s="1"/>
  <c r="K32" i="1" s="1"/>
  <c r="L34" i="1"/>
  <c r="L33" i="1" s="1"/>
  <c r="L32" i="1" s="1"/>
  <c r="M34" i="1"/>
  <c r="M33" i="1" s="1"/>
  <c r="M32" i="1" s="1"/>
  <c r="N34" i="1"/>
  <c r="N33" i="1" s="1"/>
  <c r="N32" i="1" s="1"/>
  <c r="O34" i="1"/>
  <c r="O33" i="1" s="1"/>
  <c r="O32" i="1" s="1"/>
  <c r="K27" i="1"/>
  <c r="L27" i="1"/>
  <c r="M27" i="1"/>
  <c r="N27" i="1"/>
  <c r="O27" i="1"/>
  <c r="K18" i="1"/>
  <c r="L18" i="1"/>
  <c r="M18" i="1"/>
  <c r="O18" i="1"/>
  <c r="M11" i="1"/>
  <c r="I378" i="1"/>
  <c r="M172" i="1" l="1"/>
  <c r="M171" i="1"/>
  <c r="M99" i="1"/>
  <c r="L99" i="1"/>
  <c r="N268" i="1"/>
  <c r="L268" i="1"/>
  <c r="M267" i="1"/>
  <c r="N171" i="1"/>
  <c r="N99" i="1"/>
  <c r="K267" i="1"/>
  <c r="L171" i="1"/>
  <c r="K171" i="1"/>
  <c r="K99" i="1"/>
  <c r="L6" i="1"/>
  <c r="L7" i="1" s="1"/>
  <c r="L8" i="1"/>
  <c r="L9" i="1" s="1"/>
  <c r="L10" i="1"/>
  <c r="L11" i="1"/>
  <c r="L12" i="1"/>
  <c r="L13" i="1"/>
  <c r="M6" i="1"/>
  <c r="M7" i="1" s="1"/>
  <c r="N6" i="1"/>
  <c r="N7" i="1" s="1"/>
  <c r="M8" i="1"/>
  <c r="M9" i="1" s="1"/>
  <c r="M10" i="1"/>
  <c r="M12" i="1"/>
  <c r="M13" i="1"/>
  <c r="N13" i="1"/>
  <c r="K6" i="1"/>
  <c r="K7" i="1" s="1"/>
  <c r="O6" i="1"/>
  <c r="O7" i="1" s="1"/>
  <c r="K8" i="1"/>
  <c r="K9" i="1" s="1"/>
  <c r="O8" i="1"/>
  <c r="O9" i="1" s="1"/>
  <c r="K10" i="1"/>
  <c r="O10" i="1"/>
  <c r="K11" i="1"/>
  <c r="O11" i="1"/>
  <c r="K12" i="1"/>
  <c r="K13" i="1"/>
  <c r="O13" i="1"/>
  <c r="I176" i="1"/>
  <c r="L14" i="1" l="1"/>
  <c r="M14" i="1"/>
  <c r="O14" i="1"/>
  <c r="K14" i="1"/>
  <c r="I246" i="1"/>
  <c r="I114" i="1"/>
  <c r="J209" i="1" l="1"/>
  <c r="P209" i="1" s="1"/>
  <c r="H11" i="1"/>
  <c r="H6" i="1"/>
  <c r="H7" i="1" s="1"/>
  <c r="I6" i="1"/>
  <c r="I7" i="1" s="1"/>
  <c r="G8" i="1"/>
  <c r="G9" i="1" s="1"/>
  <c r="H8" i="1"/>
  <c r="H9" i="1" s="1"/>
  <c r="I8" i="1"/>
  <c r="I9" i="1" s="1"/>
  <c r="G10" i="1"/>
  <c r="H10" i="1"/>
  <c r="I10" i="1"/>
  <c r="G11" i="1"/>
  <c r="I11" i="1"/>
  <c r="G12" i="1"/>
  <c r="H12" i="1"/>
  <c r="I12" i="1"/>
  <c r="G13" i="1"/>
  <c r="H13" i="1"/>
  <c r="I13" i="1"/>
  <c r="J190" i="1"/>
  <c r="P190" i="1" s="1"/>
  <c r="J38" i="1"/>
  <c r="P38" i="1" s="1"/>
  <c r="J348" i="1"/>
  <c r="P348" i="1" s="1"/>
  <c r="J341" i="1"/>
  <c r="P341" i="1" s="1"/>
  <c r="J342" i="1"/>
  <c r="P342" i="1" s="1"/>
  <c r="J328" i="1"/>
  <c r="P328" i="1" s="1"/>
  <c r="J318" i="1"/>
  <c r="P318" i="1" s="1"/>
  <c r="J319" i="1"/>
  <c r="P319" i="1" s="1"/>
  <c r="J320" i="1"/>
  <c r="P320" i="1" s="1"/>
  <c r="J321" i="1"/>
  <c r="P321" i="1" s="1"/>
  <c r="J309" i="1"/>
  <c r="P309" i="1" s="1"/>
  <c r="J299" i="1"/>
  <c r="P299" i="1" s="1"/>
  <c r="J282" i="1"/>
  <c r="P282" i="1" s="1"/>
  <c r="J279" i="1"/>
  <c r="P279" i="1" s="1"/>
  <c r="J272" i="1"/>
  <c r="P272" i="1" s="1"/>
  <c r="J262" i="1"/>
  <c r="P262" i="1" s="1"/>
  <c r="J251" i="1"/>
  <c r="P251" i="1" s="1"/>
  <c r="J247" i="1"/>
  <c r="P247" i="1" s="1"/>
  <c r="J238" i="1"/>
  <c r="P238" i="1" s="1"/>
  <c r="J240" i="1"/>
  <c r="P240" i="1" s="1"/>
  <c r="J216" i="1"/>
  <c r="P216" i="1" s="1"/>
  <c r="J217" i="1"/>
  <c r="P217" i="1" s="1"/>
  <c r="J218" i="1"/>
  <c r="P218" i="1" s="1"/>
  <c r="J214" i="1"/>
  <c r="P214" i="1" s="1"/>
  <c r="J202" i="1"/>
  <c r="P202" i="1" s="1"/>
  <c r="J181" i="1"/>
  <c r="P181" i="1" s="1"/>
  <c r="J167" i="1"/>
  <c r="P167" i="1" s="1"/>
  <c r="J160" i="1"/>
  <c r="P160" i="1" s="1"/>
  <c r="J154" i="1"/>
  <c r="P154" i="1" s="1"/>
  <c r="J142" i="1"/>
  <c r="P142" i="1" s="1"/>
  <c r="J143" i="1"/>
  <c r="P143" i="1" s="1"/>
  <c r="J134" i="1"/>
  <c r="P134" i="1" s="1"/>
  <c r="J135" i="1"/>
  <c r="P135" i="1" s="1"/>
  <c r="J136" i="1"/>
  <c r="P136" i="1" s="1"/>
  <c r="J119" i="1"/>
  <c r="P119" i="1" s="1"/>
  <c r="J120" i="1"/>
  <c r="P120" i="1" s="1"/>
  <c r="J121" i="1"/>
  <c r="P121" i="1" s="1"/>
  <c r="J115" i="1"/>
  <c r="P115" i="1" s="1"/>
  <c r="J109" i="1"/>
  <c r="P109" i="1" s="1"/>
  <c r="J110" i="1"/>
  <c r="P110" i="1" s="1"/>
  <c r="J103" i="1"/>
  <c r="P103" i="1" s="1"/>
  <c r="J104" i="1"/>
  <c r="P104" i="1" s="1"/>
  <c r="J90" i="1"/>
  <c r="P90" i="1" s="1"/>
  <c r="J65" i="1"/>
  <c r="P65" i="1" s="1"/>
  <c r="J76" i="1"/>
  <c r="P76" i="1" s="1"/>
  <c r="J68" i="1"/>
  <c r="P68" i="1" s="1"/>
  <c r="J56" i="1"/>
  <c r="P56" i="1" s="1"/>
  <c r="J48" i="1"/>
  <c r="P48" i="1" s="1"/>
  <c r="J49" i="1"/>
  <c r="P49" i="1" s="1"/>
  <c r="J30" i="1"/>
  <c r="P30" i="1" s="1"/>
  <c r="J19" i="1"/>
  <c r="P19" i="1" s="1"/>
  <c r="I14" i="1" l="1"/>
  <c r="G14" i="1"/>
  <c r="H14" i="1"/>
  <c r="H18" i="1" l="1"/>
  <c r="I18" i="1"/>
  <c r="H27" i="1"/>
  <c r="I27" i="1"/>
  <c r="H34" i="1"/>
  <c r="H33" i="1" s="1"/>
  <c r="H32" i="1" s="1"/>
  <c r="I34" i="1"/>
  <c r="I33" i="1" s="1"/>
  <c r="I32" i="1" s="1"/>
  <c r="H101" i="1"/>
  <c r="I101" i="1"/>
  <c r="H106" i="1"/>
  <c r="H100" i="1" s="1"/>
  <c r="I106" i="1"/>
  <c r="I100" i="1" s="1"/>
  <c r="H173" i="1"/>
  <c r="I173" i="1"/>
  <c r="H175" i="1"/>
  <c r="I175" i="1"/>
  <c r="H197" i="1"/>
  <c r="I197" i="1"/>
  <c r="H199" i="1"/>
  <c r="H196" i="1" s="1"/>
  <c r="I199" i="1"/>
  <c r="I196" i="1" s="1"/>
  <c r="H230" i="1"/>
  <c r="I230" i="1"/>
  <c r="H233" i="1"/>
  <c r="H229" i="1" s="1"/>
  <c r="I233" i="1"/>
  <c r="I229" i="1" s="1"/>
  <c r="H269" i="1"/>
  <c r="I269" i="1"/>
  <c r="H275" i="1"/>
  <c r="H267" i="1" s="1"/>
  <c r="I275" i="1"/>
  <c r="I268" i="1" s="1"/>
  <c r="H378" i="1"/>
  <c r="J36" i="1"/>
  <c r="P36" i="1" s="1"/>
  <c r="J37" i="1"/>
  <c r="P37" i="1" s="1"/>
  <c r="J42" i="1"/>
  <c r="P42" i="1" s="1"/>
  <c r="J43" i="1"/>
  <c r="P43" i="1" s="1"/>
  <c r="J44" i="1"/>
  <c r="J45" i="1"/>
  <c r="P45" i="1" s="1"/>
  <c r="J46" i="1"/>
  <c r="P46" i="1" s="1"/>
  <c r="J47" i="1"/>
  <c r="P47" i="1" s="1"/>
  <c r="J51" i="1"/>
  <c r="P51" i="1" s="1"/>
  <c r="J52" i="1"/>
  <c r="P52" i="1" s="1"/>
  <c r="J53" i="1"/>
  <c r="P53" i="1" s="1"/>
  <c r="J54" i="1"/>
  <c r="P54" i="1" s="1"/>
  <c r="J55" i="1"/>
  <c r="P55" i="1" s="1"/>
  <c r="J60" i="1"/>
  <c r="P60" i="1" s="1"/>
  <c r="J61" i="1"/>
  <c r="P61" i="1" s="1"/>
  <c r="J62" i="1"/>
  <c r="P62" i="1" s="1"/>
  <c r="J63" i="1"/>
  <c r="P63" i="1" s="1"/>
  <c r="J64" i="1"/>
  <c r="P64" i="1" s="1"/>
  <c r="J66" i="1"/>
  <c r="P66" i="1" s="1"/>
  <c r="J67" i="1"/>
  <c r="P67" i="1" s="1"/>
  <c r="J70" i="1"/>
  <c r="P70" i="1" s="1"/>
  <c r="J71" i="1"/>
  <c r="P71" i="1" s="1"/>
  <c r="J72" i="1"/>
  <c r="P72" i="1" s="1"/>
  <c r="J73" i="1"/>
  <c r="P73" i="1" s="1"/>
  <c r="J74" i="1"/>
  <c r="P74" i="1" s="1"/>
  <c r="J75" i="1"/>
  <c r="P75" i="1" s="1"/>
  <c r="J78" i="1"/>
  <c r="P78" i="1" s="1"/>
  <c r="J79" i="1"/>
  <c r="P79" i="1" s="1"/>
  <c r="J80" i="1"/>
  <c r="P80" i="1" s="1"/>
  <c r="J81" i="1"/>
  <c r="P81" i="1" s="1"/>
  <c r="J82" i="1"/>
  <c r="P82" i="1" s="1"/>
  <c r="J83" i="1"/>
  <c r="P83" i="1" s="1"/>
  <c r="J84" i="1"/>
  <c r="P84" i="1" s="1"/>
  <c r="J85" i="1"/>
  <c r="P85" i="1" s="1"/>
  <c r="J86" i="1"/>
  <c r="P86" i="1" s="1"/>
  <c r="J87" i="1"/>
  <c r="P87" i="1" s="1"/>
  <c r="J88" i="1"/>
  <c r="P88" i="1" s="1"/>
  <c r="J89" i="1"/>
  <c r="P89" i="1" s="1"/>
  <c r="J92" i="1"/>
  <c r="P92" i="1" s="1"/>
  <c r="J93" i="1"/>
  <c r="P93" i="1" s="1"/>
  <c r="J94" i="1"/>
  <c r="P94" i="1" s="1"/>
  <c r="J95" i="1"/>
  <c r="P95" i="1" s="1"/>
  <c r="J96" i="1"/>
  <c r="P96" i="1" s="1"/>
  <c r="J97" i="1"/>
  <c r="P97" i="1" s="1"/>
  <c r="J98" i="1"/>
  <c r="P98" i="1" s="1"/>
  <c r="J102" i="1"/>
  <c r="P102" i="1" s="1"/>
  <c r="P101" i="1" s="1"/>
  <c r="J105" i="1"/>
  <c r="P105" i="1" s="1"/>
  <c r="J107" i="1"/>
  <c r="P107" i="1" s="1"/>
  <c r="J108" i="1"/>
  <c r="P108" i="1" s="1"/>
  <c r="J112" i="1"/>
  <c r="P112" i="1" s="1"/>
  <c r="J113" i="1"/>
  <c r="P113" i="1" s="1"/>
  <c r="J114" i="1"/>
  <c r="P114" i="1" s="1"/>
  <c r="J116" i="1"/>
  <c r="P116" i="1" s="1"/>
  <c r="J117" i="1"/>
  <c r="P117" i="1" s="1"/>
  <c r="J118" i="1"/>
  <c r="P118" i="1" s="1"/>
  <c r="J123" i="1"/>
  <c r="P123" i="1" s="1"/>
  <c r="J124" i="1"/>
  <c r="P124" i="1" s="1"/>
  <c r="J125" i="1"/>
  <c r="P125" i="1" s="1"/>
  <c r="J126" i="1"/>
  <c r="P126" i="1" s="1"/>
  <c r="J127" i="1"/>
  <c r="P127" i="1" s="1"/>
  <c r="J128" i="1"/>
  <c r="P128" i="1" s="1"/>
  <c r="J129" i="1"/>
  <c r="P129" i="1" s="1"/>
  <c r="J130" i="1"/>
  <c r="P130" i="1" s="1"/>
  <c r="J131" i="1"/>
  <c r="P131" i="1" s="1"/>
  <c r="J132" i="1"/>
  <c r="P132" i="1" s="1"/>
  <c r="J133" i="1"/>
  <c r="P133" i="1" s="1"/>
  <c r="J138" i="1"/>
  <c r="P138" i="1" s="1"/>
  <c r="J139" i="1"/>
  <c r="P139" i="1" s="1"/>
  <c r="J140" i="1"/>
  <c r="P140" i="1" s="1"/>
  <c r="J141" i="1"/>
  <c r="P141" i="1" s="1"/>
  <c r="J145" i="1"/>
  <c r="P145" i="1" s="1"/>
  <c r="J146" i="1"/>
  <c r="P146" i="1" s="1"/>
  <c r="J147" i="1"/>
  <c r="P147" i="1" s="1"/>
  <c r="J148" i="1"/>
  <c r="P148" i="1" s="1"/>
  <c r="J149" i="1"/>
  <c r="P149" i="1" s="1"/>
  <c r="J150" i="1"/>
  <c r="P150" i="1" s="1"/>
  <c r="J151" i="1"/>
  <c r="P151" i="1" s="1"/>
  <c r="J152" i="1"/>
  <c r="P152" i="1" s="1"/>
  <c r="J153" i="1"/>
  <c r="P153" i="1" s="1"/>
  <c r="J156" i="1"/>
  <c r="P156" i="1" s="1"/>
  <c r="J157" i="1"/>
  <c r="P157" i="1" s="1"/>
  <c r="J158" i="1"/>
  <c r="P158" i="1" s="1"/>
  <c r="J159" i="1"/>
  <c r="P159" i="1" s="1"/>
  <c r="J162" i="1"/>
  <c r="P162" i="1" s="1"/>
  <c r="J163" i="1"/>
  <c r="P163" i="1" s="1"/>
  <c r="J164" i="1"/>
  <c r="P164" i="1" s="1"/>
  <c r="J165" i="1"/>
  <c r="P165" i="1" s="1"/>
  <c r="J166" i="1"/>
  <c r="P166" i="1" s="1"/>
  <c r="J169" i="1"/>
  <c r="P169" i="1" s="1"/>
  <c r="J170" i="1"/>
  <c r="P170" i="1" s="1"/>
  <c r="J174" i="1"/>
  <c r="P174" i="1" s="1"/>
  <c r="P173" i="1" s="1"/>
  <c r="J176" i="1"/>
  <c r="P176" i="1" s="1"/>
  <c r="J177" i="1"/>
  <c r="P177" i="1" s="1"/>
  <c r="J179" i="1"/>
  <c r="P179" i="1" s="1"/>
  <c r="J180" i="1"/>
  <c r="P180" i="1" s="1"/>
  <c r="J183" i="1"/>
  <c r="P183" i="1" s="1"/>
  <c r="J184" i="1"/>
  <c r="P184" i="1" s="1"/>
  <c r="J185" i="1"/>
  <c r="P185" i="1" s="1"/>
  <c r="J186" i="1"/>
  <c r="P186" i="1" s="1"/>
  <c r="J187" i="1"/>
  <c r="P187" i="1" s="1"/>
  <c r="J188" i="1"/>
  <c r="P188" i="1" s="1"/>
  <c r="J189" i="1"/>
  <c r="P189" i="1" s="1"/>
  <c r="J192" i="1"/>
  <c r="P192" i="1" s="1"/>
  <c r="J193" i="1"/>
  <c r="P193" i="1" s="1"/>
  <c r="J194" i="1"/>
  <c r="P194" i="1" s="1"/>
  <c r="J195" i="1"/>
  <c r="P195" i="1" s="1"/>
  <c r="J198" i="1"/>
  <c r="P198" i="1" s="1"/>
  <c r="P197" i="1" s="1"/>
  <c r="J200" i="1"/>
  <c r="P200" i="1" s="1"/>
  <c r="J201" i="1"/>
  <c r="P201" i="1" s="1"/>
  <c r="J204" i="1"/>
  <c r="P204" i="1" s="1"/>
  <c r="J205" i="1"/>
  <c r="P205" i="1" s="1"/>
  <c r="J206" i="1"/>
  <c r="P206" i="1" s="1"/>
  <c r="J207" i="1"/>
  <c r="P207" i="1" s="1"/>
  <c r="J208" i="1"/>
  <c r="P208" i="1" s="1"/>
  <c r="J211" i="1"/>
  <c r="P211" i="1" s="1"/>
  <c r="J212" i="1"/>
  <c r="P212" i="1" s="1"/>
  <c r="J213" i="1"/>
  <c r="P213" i="1" s="1"/>
  <c r="J215" i="1"/>
  <c r="P215" i="1" s="1"/>
  <c r="J219" i="1"/>
  <c r="P219" i="1" s="1"/>
  <c r="J220" i="1"/>
  <c r="P220" i="1" s="1"/>
  <c r="J221" i="1"/>
  <c r="P221" i="1" s="1"/>
  <c r="J224" i="1"/>
  <c r="P224" i="1" s="1"/>
  <c r="J225" i="1"/>
  <c r="P225" i="1" s="1"/>
  <c r="J226" i="1"/>
  <c r="P226" i="1" s="1"/>
  <c r="J227" i="1"/>
  <c r="P227" i="1" s="1"/>
  <c r="J228" i="1"/>
  <c r="P228" i="1" s="1"/>
  <c r="J231" i="1"/>
  <c r="P231" i="1" s="1"/>
  <c r="P230" i="1" s="1"/>
  <c r="J232" i="1"/>
  <c r="P232" i="1" s="1"/>
  <c r="J234" i="1"/>
  <c r="P234" i="1" s="1"/>
  <c r="J235" i="1"/>
  <c r="P235" i="1" s="1"/>
  <c r="J236" i="1"/>
  <c r="P236" i="1" s="1"/>
  <c r="J237" i="1"/>
  <c r="P237" i="1" s="1"/>
  <c r="J241" i="1"/>
  <c r="P241" i="1" s="1"/>
  <c r="J242" i="1"/>
  <c r="P242" i="1" s="1"/>
  <c r="J243" i="1"/>
  <c r="P243" i="1" s="1"/>
  <c r="J244" i="1"/>
  <c r="P244" i="1" s="1"/>
  <c r="J245" i="1"/>
  <c r="P245" i="1" s="1"/>
  <c r="J246" i="1"/>
  <c r="P246" i="1" s="1"/>
  <c r="J248" i="1"/>
  <c r="P248" i="1" s="1"/>
  <c r="J249" i="1"/>
  <c r="P249" i="1" s="1"/>
  <c r="J250" i="1"/>
  <c r="P250" i="1" s="1"/>
  <c r="J253" i="1"/>
  <c r="P253" i="1" s="1"/>
  <c r="J254" i="1"/>
  <c r="P254" i="1" s="1"/>
  <c r="J255" i="1"/>
  <c r="P255" i="1" s="1"/>
  <c r="J256" i="1"/>
  <c r="P256" i="1" s="1"/>
  <c r="J257" i="1"/>
  <c r="P257" i="1" s="1"/>
  <c r="J258" i="1"/>
  <c r="P258" i="1" s="1"/>
  <c r="J259" i="1"/>
  <c r="P259" i="1" s="1"/>
  <c r="J260" i="1"/>
  <c r="P260" i="1" s="1"/>
  <c r="J261" i="1"/>
  <c r="P261" i="1" s="1"/>
  <c r="J264" i="1"/>
  <c r="P264" i="1" s="1"/>
  <c r="J265" i="1"/>
  <c r="P265" i="1" s="1"/>
  <c r="J266" i="1"/>
  <c r="P266" i="1" s="1"/>
  <c r="J270" i="1"/>
  <c r="P270" i="1" s="1"/>
  <c r="J271" i="1"/>
  <c r="P271" i="1" s="1"/>
  <c r="J273" i="1"/>
  <c r="P273" i="1" s="1"/>
  <c r="J274" i="1"/>
  <c r="P274" i="1" s="1"/>
  <c r="J276" i="1"/>
  <c r="P276" i="1" s="1"/>
  <c r="J277" i="1"/>
  <c r="P277" i="1" s="1"/>
  <c r="J278" i="1"/>
  <c r="P278" i="1" s="1"/>
  <c r="J280" i="1"/>
  <c r="P280" i="1" s="1"/>
  <c r="J281" i="1"/>
  <c r="P281" i="1" s="1"/>
  <c r="J284" i="1"/>
  <c r="P284" i="1" s="1"/>
  <c r="J285" i="1"/>
  <c r="P285" i="1" s="1"/>
  <c r="J286" i="1"/>
  <c r="P286" i="1" s="1"/>
  <c r="J287" i="1"/>
  <c r="P287" i="1" s="1"/>
  <c r="J288" i="1"/>
  <c r="P288" i="1" s="1"/>
  <c r="J289" i="1"/>
  <c r="P289" i="1" s="1"/>
  <c r="J290" i="1"/>
  <c r="P290" i="1" s="1"/>
  <c r="J291" i="1"/>
  <c r="P291" i="1" s="1"/>
  <c r="J292" i="1"/>
  <c r="P292" i="1" s="1"/>
  <c r="J293" i="1"/>
  <c r="P293" i="1" s="1"/>
  <c r="J294" i="1"/>
  <c r="P294" i="1" s="1"/>
  <c r="J295" i="1"/>
  <c r="P295" i="1" s="1"/>
  <c r="J296" i="1"/>
  <c r="P296" i="1" s="1"/>
  <c r="J297" i="1"/>
  <c r="P297" i="1" s="1"/>
  <c r="J298" i="1"/>
  <c r="P298" i="1" s="1"/>
  <c r="J300" i="1"/>
  <c r="P300" i="1" s="1"/>
  <c r="J302" i="1"/>
  <c r="P302" i="1" s="1"/>
  <c r="J303" i="1"/>
  <c r="P303" i="1" s="1"/>
  <c r="J304" i="1"/>
  <c r="P304" i="1" s="1"/>
  <c r="J305" i="1"/>
  <c r="P305" i="1" s="1"/>
  <c r="J306" i="1"/>
  <c r="P306" i="1" s="1"/>
  <c r="J307" i="1"/>
  <c r="P307" i="1" s="1"/>
  <c r="J308" i="1"/>
  <c r="P308" i="1" s="1"/>
  <c r="J311" i="1"/>
  <c r="P311" i="1" s="1"/>
  <c r="J312" i="1"/>
  <c r="P312" i="1" s="1"/>
  <c r="J313" i="1"/>
  <c r="P313" i="1" s="1"/>
  <c r="J314" i="1"/>
  <c r="P314" i="1" s="1"/>
  <c r="J315" i="1"/>
  <c r="P315" i="1" s="1"/>
  <c r="J316" i="1"/>
  <c r="P316" i="1" s="1"/>
  <c r="J317" i="1"/>
  <c r="P317" i="1" s="1"/>
  <c r="J323" i="1"/>
  <c r="P323" i="1" s="1"/>
  <c r="J324" i="1"/>
  <c r="P324" i="1" s="1"/>
  <c r="J325" i="1"/>
  <c r="P325" i="1" s="1"/>
  <c r="J326" i="1"/>
  <c r="P326" i="1" s="1"/>
  <c r="J327" i="1"/>
  <c r="P327" i="1" s="1"/>
  <c r="J330" i="1"/>
  <c r="P330" i="1" s="1"/>
  <c r="J331" i="1"/>
  <c r="P331" i="1" s="1"/>
  <c r="J332" i="1"/>
  <c r="P332" i="1" s="1"/>
  <c r="J333" i="1"/>
  <c r="P333" i="1" s="1"/>
  <c r="J334" i="1"/>
  <c r="P334" i="1" s="1"/>
  <c r="J335" i="1"/>
  <c r="P335" i="1" s="1"/>
  <c r="J336" i="1"/>
  <c r="P336" i="1" s="1"/>
  <c r="J337" i="1"/>
  <c r="P337" i="1" s="1"/>
  <c r="J338" i="1"/>
  <c r="P338" i="1" s="1"/>
  <c r="J339" i="1"/>
  <c r="P339" i="1" s="1"/>
  <c r="J340" i="1"/>
  <c r="P340" i="1" s="1"/>
  <c r="J344" i="1"/>
  <c r="P344" i="1" s="1"/>
  <c r="J345" i="1"/>
  <c r="P345" i="1" s="1"/>
  <c r="J346" i="1"/>
  <c r="P346" i="1" s="1"/>
  <c r="J347" i="1"/>
  <c r="P347" i="1" s="1"/>
  <c r="J351" i="1"/>
  <c r="P351" i="1" s="1"/>
  <c r="J352" i="1"/>
  <c r="P352" i="1" s="1"/>
  <c r="J379" i="1"/>
  <c r="P379" i="1" s="1"/>
  <c r="J380" i="1"/>
  <c r="P380" i="1" s="1"/>
  <c r="J381" i="1"/>
  <c r="P381" i="1" s="1"/>
  <c r="J382" i="1"/>
  <c r="P382" i="1" s="1"/>
  <c r="J383" i="1"/>
  <c r="P383" i="1" s="1"/>
  <c r="J385" i="1"/>
  <c r="P385" i="1" s="1"/>
  <c r="J386" i="1"/>
  <c r="P386" i="1" s="1"/>
  <c r="J387" i="1"/>
  <c r="P387" i="1" s="1"/>
  <c r="J35" i="1"/>
  <c r="P35" i="1" s="1"/>
  <c r="J29" i="1"/>
  <c r="P29" i="1" s="1"/>
  <c r="J31" i="1"/>
  <c r="P31" i="1" s="1"/>
  <c r="J28" i="1"/>
  <c r="P28" i="1" s="1"/>
  <c r="J20" i="1"/>
  <c r="P20" i="1" s="1"/>
  <c r="J21" i="1"/>
  <c r="P21" i="1" s="1"/>
  <c r="J22" i="1"/>
  <c r="P22" i="1" s="1"/>
  <c r="J23" i="1"/>
  <c r="P23" i="1" s="1"/>
  <c r="J24" i="1"/>
  <c r="P24" i="1" s="1"/>
  <c r="J26" i="1"/>
  <c r="P26" i="1" s="1"/>
  <c r="P199" i="1" l="1"/>
  <c r="P196" i="1" s="1"/>
  <c r="P269" i="1"/>
  <c r="P378" i="1"/>
  <c r="P12" i="1"/>
  <c r="P44" i="1"/>
  <c r="P106" i="1"/>
  <c r="P100" i="1" s="1"/>
  <c r="P233" i="1"/>
  <c r="P229" i="1" s="1"/>
  <c r="P171" i="1" s="1"/>
  <c r="P275" i="1"/>
  <c r="P267" i="1" s="1"/>
  <c r="P175" i="1"/>
  <c r="P172" i="1" s="1"/>
  <c r="P8" i="1"/>
  <c r="P9" i="1" s="1"/>
  <c r="P11" i="1"/>
  <c r="P10" i="1"/>
  <c r="J175" i="1"/>
  <c r="P27" i="1"/>
  <c r="P34" i="1"/>
  <c r="P33" i="1" s="1"/>
  <c r="P32" i="1" s="1"/>
  <c r="J378" i="1"/>
  <c r="J173" i="1"/>
  <c r="J197" i="1"/>
  <c r="P13" i="1"/>
  <c r="H99" i="1"/>
  <c r="J12" i="1"/>
  <c r="J230" i="1"/>
  <c r="J27" i="1"/>
  <c r="J275" i="1"/>
  <c r="J11" i="1"/>
  <c r="J34" i="1"/>
  <c r="J106" i="1"/>
  <c r="I267" i="1"/>
  <c r="I99" i="1"/>
  <c r="J199" i="1"/>
  <c r="J233" i="1"/>
  <c r="H268" i="1"/>
  <c r="I171" i="1"/>
  <c r="H171" i="1"/>
  <c r="J269" i="1"/>
  <c r="J101" i="1"/>
  <c r="I172" i="1"/>
  <c r="H172" i="1"/>
  <c r="J10" i="1"/>
  <c r="J13" i="1"/>
  <c r="J8" i="1"/>
  <c r="J9" i="1" s="1"/>
  <c r="P99" i="1" l="1"/>
  <c r="P268" i="1"/>
  <c r="P14" i="1"/>
  <c r="J33" i="1"/>
  <c r="J229" i="1"/>
  <c r="J267" i="1"/>
  <c r="J196" i="1"/>
  <c r="J172" i="1"/>
  <c r="J100" i="1"/>
  <c r="J14" i="1"/>
  <c r="J99" i="1"/>
  <c r="J268" i="1"/>
  <c r="J171" i="1" l="1"/>
  <c r="J32" i="1"/>
  <c r="G378" i="1"/>
  <c r="G275" i="1"/>
  <c r="G267" i="1" s="1"/>
  <c r="G269" i="1"/>
  <c r="G233" i="1"/>
  <c r="G229" i="1" s="1"/>
  <c r="G230" i="1"/>
  <c r="G199" i="1"/>
  <c r="G196" i="1" s="1"/>
  <c r="G197" i="1"/>
  <c r="G175" i="1"/>
  <c r="G172" i="1" s="1"/>
  <c r="G173" i="1"/>
  <c r="G106" i="1"/>
  <c r="G100" i="1" s="1"/>
  <c r="G101" i="1"/>
  <c r="G34" i="1"/>
  <c r="G33" i="1" s="1"/>
  <c r="G32" i="1" s="1"/>
  <c r="G27" i="1"/>
  <c r="G25" i="1"/>
  <c r="J25" i="1" l="1"/>
  <c r="P25" i="1" s="1"/>
  <c r="G6" i="1"/>
  <c r="G7" i="1" s="1"/>
  <c r="G18" i="1"/>
  <c r="G268" i="1"/>
  <c r="G171" i="1"/>
  <c r="G99" i="1"/>
  <c r="N11" i="1" s="1"/>
  <c r="N14" i="1" s="1"/>
  <c r="P18" i="1" l="1"/>
  <c r="P6" i="1"/>
  <c r="P7" i="1" s="1"/>
  <c r="J6" i="1"/>
  <c r="J7" i="1" s="1"/>
  <c r="J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tc={4306BDE6-4CAB-455C-8C06-6DE27F3F7044}</author>
    <author>tc={F5E44040-615E-4E75-BBD9-86F0150005CB}</author>
    <author>tc={6DB3F2F8-5373-48D1-B622-467197891ABC}</author>
    <author>tc={123180FD-3235-4580-8AFB-9A1CE6104353}</author>
    <author>tc={22A7596B-6634-445F-A195-5BF45079DFD3}</author>
    <author>tc={9F5BA1DC-3898-47D6-9239-97F36DE5F8AD}</author>
    <author>tc={97878279-3546-4127-AB24-428005713064}</author>
    <author>tc={75C0AACD-553D-4AD7-8060-508108AA330A}</author>
    <author>tc={2E016B84-A9FB-4E9F-973C-8DFF9368CCA8}</author>
    <author>tc={FCCE319A-20F1-41AE-B505-2EB092BD6E85}</author>
    <author>tc={476AD39A-66D8-4EC5-817F-6C7DE7E958B1}</author>
    <author>tc={1BDD3009-8AF1-460C-A397-526BC7D7B675}</author>
    <author>tc={37B1C0D1-18B3-43DE-B3AE-F017CBADDB28}</author>
    <author>tc={4C2E662C-3B56-482E-AADA-F2D45CAC9925}</author>
    <author>tc={A42B409C-D8D6-4E7C-92BD-52FB06E27CE7}</author>
    <author>tc={36A5164A-55B2-4B05-8ED2-DE832888B4D7}</author>
    <author>tc={306DD25A-DB13-4FAD-B490-4782B6C4D2A4}</author>
    <author>tc={8A7D0425-FE48-4C10-9CAC-131925F29999}</author>
    <author>tc={E451606C-CC5A-4358-82B8-B55856121004}</author>
    <author>tc={E217CF67-3A1E-4A33-A935-C83682927785}</author>
  </authors>
  <commentList>
    <comment ref="C25" authorId="0" shapeId="0" xr:uid="{4306BDE6-4CAB-455C-8C06-6DE27F3F7044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Kulumudeliga liigid ei lähe kokku, pane tähele</t>
      </text>
    </comment>
    <comment ref="G25" authorId="1" shapeId="0" xr:uid="{F5E44040-615E-4E75-BBD9-86F0150005CB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Lahutasin konto 381 juures liik 40lt liigi 60 maha</t>
      </text>
    </comment>
    <comment ref="F28" authorId="2" shapeId="0" xr:uid="{6DB3F2F8-5373-48D1-B622-467197891AB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konto 150</t>
      </text>
    </comment>
    <comment ref="C31" authorId="3" shapeId="0" xr:uid="{123180FD-3235-4580-8AFB-9A1CE6104353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KAISis konto 41
Vastus:
    Kulumudelis liigid ei lähe kokku, pane tähele</t>
      </text>
    </comment>
    <comment ref="G31" authorId="4" shapeId="0" xr:uid="{22A7596B-6634-445F-A195-5BF45079DFD3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Liigiline erinevus KAISiga</t>
      </text>
    </comment>
    <comment ref="H48" authorId="5" shapeId="0" xr:uid="{9F5BA1DC-3898-47D6-9239-97F36DE5F8AD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EVK teraviljavaru soetamine</t>
      </text>
    </comment>
    <comment ref="I114" authorId="6" shapeId="0" xr:uid="{97878279-3546-4127-AB24-428005713064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17,1 tuh andmesaatkonna internetiühenduseks RIA-le + 150 tuh RIKSile inv toetuste arvelt</t>
      </text>
    </comment>
    <comment ref="O114" authorId="7" shapeId="0" xr:uid="{75C0AACD-553D-4AD7-8060-508108AA330A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RITile infoturbe tagamiseks</t>
      </text>
    </comment>
    <comment ref="I116" authorId="8" shapeId="0" xr:uid="{2E016B84-A9FB-4E9F-973C-8DFF9368CCA8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150 tuh RIKS suunas oma tegev toetusesse</t>
      </text>
    </comment>
    <comment ref="I174" authorId="9" shapeId="0" xr:uid="{FCCE319A-20F1-41AE-B505-2EB092BD6E85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Vähendati RIA TA 1% eelarvet</t>
      </text>
    </comment>
    <comment ref="O174" authorId="10" shapeId="0" xr:uid="{476AD39A-66D8-4EC5-817F-6C7DE7E958B1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RIA TA inv eelarvest MKMile</t>
      </text>
    </comment>
    <comment ref="I176" authorId="11" shapeId="0" xr:uid="{1BDD3009-8AF1-460C-A397-526BC7D7B675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70 tuh vähendati RIA TA 1% eelarvet + 138 tuh EISi grandile "arendusvoi" + 1 M inv toetustest tegev toetustesse (RTE)</t>
      </text>
    </comment>
    <comment ref="I177" authorId="12" shapeId="0" xr:uid="{37B1C0D1-18B3-43DE-B3AE-F017CBADDB28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1 M suunatud TA 1% tegev toetuste eelarvesse (RTE)</t>
      </text>
    </comment>
    <comment ref="I246" authorId="13" shapeId="0" xr:uid="{4C2E662C-3B56-482E-AADA-F2D45CAC9925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EIS: 138 tuh grandilt "uusturg" suunatud grandile "arendusvoi" + 75 tuh võetud grandilt "turism" MKMile Tallinna Strateegiakeskusele konverentsi Green Destinations korraldamiseks</t>
      </text>
    </comment>
    <comment ref="I270" authorId="14" shapeId="0" xr:uid="{A42B409C-D8D6-4E7C-92BD-52FB06E27CE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RiL-ile</t>
      </text>
    </comment>
    <comment ref="I271" authorId="15" shapeId="0" xr:uid="{36A5164A-55B2-4B05-8ED2-DE832888B4D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RiL-ile</t>
      </text>
    </comment>
    <comment ref="I297" authorId="16" shapeId="0" xr:uid="{306DD25A-DB13-4FAD-B490-4782B6C4D2A4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RiL-ile</t>
      </text>
    </comment>
    <comment ref="I379" authorId="17" shapeId="0" xr:uid="{8A7D0425-FE48-4C10-9CAC-131925F2999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RiL-ile</t>
      </text>
    </comment>
    <comment ref="I380" authorId="18" shapeId="0" xr:uid="{E451606C-CC5A-4358-82B8-B55856121004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RiL-ile</t>
      </text>
    </comment>
    <comment ref="I381" authorId="19" shapeId="0" xr:uid="{E217CF67-3A1E-4A33-A935-C83682927785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RiL-ile</t>
      </text>
    </comment>
  </commentList>
</comments>
</file>

<file path=xl/sharedStrings.xml><?xml version="1.0" encoding="utf-8"?>
<sst xmlns="http://schemas.openxmlformats.org/spreadsheetml/2006/main" count="1481" uniqueCount="347">
  <si>
    <t>Lisa 1</t>
  </si>
  <si>
    <t>Majandus- ja Kommunikatsiooniministeerium</t>
  </si>
  <si>
    <t>Tulud</t>
  </si>
  <si>
    <t>Tulud kokku</t>
  </si>
  <si>
    <t>Fin tehingud</t>
  </si>
  <si>
    <t>Fin tehingud kokku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</si>
  <si>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</si>
  <si>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</si>
  <si>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</si>
  <si>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</si>
  <si>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</si>
  <si>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</si>
  <si>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</si>
  <si>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r>
      <t>Eelarve liik</t>
    </r>
    <r>
      <rPr>
        <sz val="10"/>
        <color rgb="FF0000FF"/>
        <rFont val="Times New Roman"/>
        <family val="1"/>
        <charset val="186"/>
      </rPr>
      <t>*</t>
    </r>
  </si>
  <si>
    <t>Eelarve objekt</t>
  </si>
  <si>
    <t>Objekti nimi</t>
  </si>
  <si>
    <r>
      <t>Majanduslik sisu</t>
    </r>
    <r>
      <rPr>
        <sz val="10"/>
        <color rgb="FF0000FF"/>
        <rFont val="Times New Roman"/>
        <family val="1"/>
        <charset val="186"/>
      </rPr>
      <t>**</t>
    </r>
  </si>
  <si>
    <t>Kinnitatud eelarve 2023</t>
  </si>
  <si>
    <t>Lõplik eelarve 2023</t>
  </si>
  <si>
    <t>Stsenaarium asutuse kulumudelis</t>
  </si>
  <si>
    <t>EELARVE</t>
  </si>
  <si>
    <t/>
  </si>
  <si>
    <t>Periood asutuse kulumudelis</t>
  </si>
  <si>
    <t>TULUD KOKKU</t>
  </si>
  <si>
    <t>XX010000</t>
  </si>
  <si>
    <t>Programmide ülene</t>
  </si>
  <si>
    <t>10</t>
  </si>
  <si>
    <t>Ehitisregistri toimingute riigilõiv</t>
  </si>
  <si>
    <t xml:space="preserve">Muud riigilõivud </t>
  </si>
  <si>
    <t>Üür ja rent</t>
  </si>
  <si>
    <t>Hoonestusõiguse seadmise tasu</t>
  </si>
  <si>
    <t>Tulem osalustelt (dividenditulud)</t>
  </si>
  <si>
    <t>40</t>
  </si>
  <si>
    <t>Saadud välistoetused</t>
  </si>
  <si>
    <t>Tulud varude ja põhivara müügist</t>
  </si>
  <si>
    <t>41</t>
  </si>
  <si>
    <t>Saadud välistoetused (vahendamiseks)</t>
  </si>
  <si>
    <t>FINANTSEERIMISTEHINGUD  KOKKU</t>
  </si>
  <si>
    <t>20</t>
  </si>
  <si>
    <t>SE000037</t>
  </si>
  <si>
    <t>Fondide haldamine</t>
  </si>
  <si>
    <t>TULEMUSVALDKOND  ENERGEETIKA</t>
  </si>
  <si>
    <t>KULUD  KOKKU</t>
  </si>
  <si>
    <t>ENEN0101</t>
  </si>
  <si>
    <t>Elektri- ja gaasivarustuse tagamine</t>
  </si>
  <si>
    <t>SE000003</t>
  </si>
  <si>
    <t>Rahvusvahelised liikmemaksud</t>
  </si>
  <si>
    <t>SE000060</t>
  </si>
  <si>
    <t>RRF - tehniline abi</t>
  </si>
  <si>
    <t>SE000035</t>
  </si>
  <si>
    <t>CO2 kvooditulust rahastatavad projektid</t>
  </si>
  <si>
    <t>60</t>
  </si>
  <si>
    <t>ENEN0102</t>
  </si>
  <si>
    <t>Transpordikütuse korraldus ja kütusevarude säilitamine</t>
  </si>
  <si>
    <t>ENEN0103</t>
  </si>
  <si>
    <t>Soojusenergia tõhus tootmine ja ülekanne</t>
  </si>
  <si>
    <t>ENEN0201</t>
  </si>
  <si>
    <t>Energiatõhususe suurendamine</t>
  </si>
  <si>
    <t>IN070079</t>
  </si>
  <si>
    <t>Väikeelamute energiatõhususe suurendamin</t>
  </si>
  <si>
    <t>IN070089</t>
  </si>
  <si>
    <t>Tänavavalgustuse taristu renoveerimine</t>
  </si>
  <si>
    <t>Kulud - investeeringutoetus EIS-ile</t>
  </si>
  <si>
    <t>ENEN0202</t>
  </si>
  <si>
    <t>Taastuvenergia osakaalu suurendamine lõpptarbimises</t>
  </si>
  <si>
    <t>IN070073</t>
  </si>
  <si>
    <t>Taastuvenergia kasutuselevõtt</t>
  </si>
  <si>
    <t>IN070085</t>
  </si>
  <si>
    <t>Biometaani tootmise ja transpordisektoris tarbimis</t>
  </si>
  <si>
    <t>Kulud - investeeringutoetused KIKi kaudu</t>
  </si>
  <si>
    <t>IN070086</t>
  </si>
  <si>
    <t>Kaugküttekatelde renov. ja/või rajamine ning kü</t>
  </si>
  <si>
    <t>IN070087</t>
  </si>
  <si>
    <t>Amortiseerunud ja ebaefektiivse soojustorustiku re</t>
  </si>
  <si>
    <t>43</t>
  </si>
  <si>
    <t>IN000035</t>
  </si>
  <si>
    <t>CO2 kvooditulust rahastatav investeering</t>
  </si>
  <si>
    <t>Kulud (kliimapoliitika pilootprojektid)</t>
  </si>
  <si>
    <t>Kulud (toetus Elering AS-ile - biogaas)</t>
  </si>
  <si>
    <t>ENEN0301</t>
  </si>
  <si>
    <t>Maapõueressursside uurimine ja kasutamine</t>
  </si>
  <si>
    <t>ENEN0302</t>
  </si>
  <si>
    <t>Geoloogiline kaardistamine ja maapõuealane kompetents</t>
  </si>
  <si>
    <t>PROGRAMM  DIGIÜHISKOND</t>
  </si>
  <si>
    <t>INVESTEERINGUD  KOKKU</t>
  </si>
  <si>
    <t>IYDA0000</t>
  </si>
  <si>
    <t>Investeeringud digiühiskonda</t>
  </si>
  <si>
    <t>IN002000</t>
  </si>
  <si>
    <t>IT investeeringud</t>
  </si>
  <si>
    <t>Investeeringud (ATKL, RRF)</t>
  </si>
  <si>
    <t>IYDA0101</t>
  </si>
  <si>
    <t>Digiriigi arenguhüpped</t>
  </si>
  <si>
    <t>IYDA0102</t>
  </si>
  <si>
    <t>Digiriigi alusbaasi kindlustamine</t>
  </si>
  <si>
    <t>IN005000</t>
  </si>
  <si>
    <t>Muud investeeringud</t>
  </si>
  <si>
    <t>32</t>
  </si>
  <si>
    <t>IN070050</t>
  </si>
  <si>
    <t>Nutika teenuste taristu arendamine</t>
  </si>
  <si>
    <t>Kulud - investeeringutoetused RTK kaudu</t>
  </si>
  <si>
    <t>IYDA0201</t>
  </si>
  <si>
    <t>Riikliku küberturvalisuse korraldamine</t>
  </si>
  <si>
    <t>IYDA0202</t>
  </si>
  <si>
    <t>IYDA0203</t>
  </si>
  <si>
    <t>Küberturvalisuse tagamine</t>
  </si>
  <si>
    <t>IYDA0301</t>
  </si>
  <si>
    <t>Õigusruumi tagamine</t>
  </si>
  <si>
    <t>IYDA0302</t>
  </si>
  <si>
    <t>Juurdepääsuvõrkude väljaarendamine</t>
  </si>
  <si>
    <t>IN070091</t>
  </si>
  <si>
    <t>Uue põlvkonna lairibavõrkude arendamine</t>
  </si>
  <si>
    <t>IYDA0303</t>
  </si>
  <si>
    <t>5G taristu ja teenuste arendamine</t>
  </si>
  <si>
    <t>PROGRAMM  TEADMUSSIIRE</t>
  </si>
  <si>
    <t>INVESTEERINGUD KOKKU</t>
  </si>
  <si>
    <t>TI020000</t>
  </si>
  <si>
    <t>Investeeringud teadmussiirdesse</t>
  </si>
  <si>
    <t>Investeeringud (teadus- ja arendustegev)</t>
  </si>
  <si>
    <t>TI020101</t>
  </si>
  <si>
    <t>Ettevõtete innovatsiooni-, digi- ja rohepöörde soodustamine</t>
  </si>
  <si>
    <t>Kulud (teadus- ja arendustegev)</t>
  </si>
  <si>
    <t>TI020102</t>
  </si>
  <si>
    <t>Teadus- ja arendusmahuka iduettevõtluse arendamine</t>
  </si>
  <si>
    <t>PROGRAMM  EHITUS</t>
  </si>
  <si>
    <t>TIEH0000</t>
  </si>
  <si>
    <t>Investeeringud ehitusse</t>
  </si>
  <si>
    <t>Investeeringud (RRF)</t>
  </si>
  <si>
    <t>TIEH0101</t>
  </si>
  <si>
    <t>E-ehitus</t>
  </si>
  <si>
    <t>TIEH0102</t>
  </si>
  <si>
    <t>Ehitatud keskkonna ja ehitusvaldkonna kvaliteedi arendamine</t>
  </si>
  <si>
    <t>TIEH0201</t>
  </si>
  <si>
    <t>Eluasemepoliitika</t>
  </si>
  <si>
    <t>IN070077</t>
  </si>
  <si>
    <t>Kodutoetus lasterik perede eluasemet par</t>
  </si>
  <si>
    <t>IN070100</t>
  </si>
  <si>
    <t>Elukondlik kinnisvara maapiirkondades</t>
  </si>
  <si>
    <t>SE000099</t>
  </si>
  <si>
    <t>Täiendav eraldis</t>
  </si>
  <si>
    <t>IN070084</t>
  </si>
  <si>
    <t>Korterelamute rekonstrueerimine</t>
  </si>
  <si>
    <t>PROGRAMM  ETTEVÕTLUSKESKKOND</t>
  </si>
  <si>
    <t>TIEK0000</t>
  </si>
  <si>
    <t>Investeeringud ettevõtluskeskkonda</t>
  </si>
  <si>
    <t>Investeeringud (välisinvesteeringute kaasamine)</t>
  </si>
  <si>
    <t>TIEK0101</t>
  </si>
  <si>
    <t>Ettevõtluse arendamise soodustamine</t>
  </si>
  <si>
    <t>TIEK0102</t>
  </si>
  <si>
    <t>Ettevõtete konkurentsivõime ja ekspordi edendamine</t>
  </si>
  <si>
    <t>TIEK0103</t>
  </si>
  <si>
    <t>Tehnoloogia- ja arendusmahukate investeeringute soodustamine</t>
  </si>
  <si>
    <t>IN005001</t>
  </si>
  <si>
    <t>Suurinvestori investeeringutoetus</t>
  </si>
  <si>
    <t>TULEMUSVALDKOND  TRANSPORT</t>
  </si>
  <si>
    <t>PROGRAMM  TRANSPORDI  KONKURENTSIVÕIME  JA  LIIKUVUS</t>
  </si>
  <si>
    <t>TRTR0000</t>
  </si>
  <si>
    <t>Investeeringud transporti</t>
  </si>
  <si>
    <t>IN003000</t>
  </si>
  <si>
    <t>Transpordivahendid</t>
  </si>
  <si>
    <t>IN070051</t>
  </si>
  <si>
    <t>Rail Baltic arendus</t>
  </si>
  <si>
    <t>IN070969</t>
  </si>
  <si>
    <t>Maade soetamine</t>
  </si>
  <si>
    <t>TRTR0301</t>
  </si>
  <si>
    <t>Raudteetransporditaristu arendamine ja korrashoid</t>
  </si>
  <si>
    <t>IN070059</t>
  </si>
  <si>
    <t>Tln-Tartu rt uuendus kiiruseks 135 km/h</t>
  </si>
  <si>
    <t>IN070061</t>
  </si>
  <si>
    <t>Tapa-Narva rt uuendus kiiruseks 135 km/h</t>
  </si>
  <si>
    <t>IN070979</t>
  </si>
  <si>
    <t>Raudtee elektrifits. Tartu-Tapa-Narva</t>
  </si>
  <si>
    <t>IN070982</t>
  </si>
  <si>
    <t>Kõv. õgven. rdt. kap.rem Tal-Tart-Koid</t>
  </si>
  <si>
    <t>IN070983</t>
  </si>
  <si>
    <t>Tallinn-Lelle rekonstrueerimistööd</t>
  </si>
  <si>
    <t>Kulud - investeeringutoetus</t>
  </si>
  <si>
    <t>IN070032</t>
  </si>
  <si>
    <t>Tapa - Tartu raudtee rekonstrueerimine</t>
  </si>
  <si>
    <t>IN070036</t>
  </si>
  <si>
    <t>Tallinn-Keila-Paldiski; Keila-Riisipere raudtee re</t>
  </si>
  <si>
    <t>IN070037</t>
  </si>
  <si>
    <t>Tallinn-Keila-Paldiski liiklusjuhtimissüsteemi re</t>
  </si>
  <si>
    <t>IN070975</t>
  </si>
  <si>
    <t>Tapa jaama sorteerimispark</t>
  </si>
  <si>
    <t>Raudtee elektrifitseerimine Tln-Tartu</t>
  </si>
  <si>
    <t>Raudtee kap.remont Tallinn-Tartu-Koidula</t>
  </si>
  <si>
    <t>TRTR0302</t>
  </si>
  <si>
    <t>Veetransporditaristu arendamine ja korrashoid</t>
  </si>
  <si>
    <t>IN070976</t>
  </si>
  <si>
    <t>Sadamate akvatooriumi kaitse</t>
  </si>
  <si>
    <t>TRTR0303</t>
  </si>
  <si>
    <t>Õhutransporditaristu arendamine ja korrashoid</t>
  </si>
  <si>
    <t>IN070033</t>
  </si>
  <si>
    <t>Tallinna lennujaama lennuliiklusala keskkonnaseisu</t>
  </si>
  <si>
    <t>Kulud - investeeringutoetus AS-ile Tallinna Lennujaam</t>
  </si>
  <si>
    <t>TRTR0304</t>
  </si>
  <si>
    <t>Maaneetransporditaristu arendamine ja korrashoid</t>
  </si>
  <si>
    <t>IN070102</t>
  </si>
  <si>
    <t>Pärnu linnale ühenduste tagamine</t>
  </si>
  <si>
    <t>IN070103</t>
  </si>
  <si>
    <t>Kadrina valla kergliiklustee</t>
  </si>
  <si>
    <t>IN070042</t>
  </si>
  <si>
    <t>Kulud - investeeringutoetus Narva linnale</t>
  </si>
  <si>
    <t>TRTR0305</t>
  </si>
  <si>
    <t>Keskkonnahoidlikku liikuvust soodustav linnakeskkond</t>
  </si>
  <si>
    <t>IN070974</t>
  </si>
  <si>
    <t>Tallinna Vanasadama trammiliini rajamine</t>
  </si>
  <si>
    <t>Kulud - investeeringutoetus Tallinna linnale</t>
  </si>
  <si>
    <t>IN070985</t>
  </si>
  <si>
    <t>Jalgrattateed ja parklad</t>
  </si>
  <si>
    <t>IN070986</t>
  </si>
  <si>
    <t>Mitmeliigilised ühistransp.sõlmed</t>
  </si>
  <si>
    <t>IN070987</t>
  </si>
  <si>
    <t>Trammiliikluse arendamine Tallinnas</t>
  </si>
  <si>
    <t>TRTR0306</t>
  </si>
  <si>
    <t>Ohutu ja säästlik transpordisüsteem</t>
  </si>
  <si>
    <t>SE000028</t>
  </si>
  <si>
    <t>Vahendid RKASile</t>
  </si>
  <si>
    <t>SE070004</t>
  </si>
  <si>
    <t>Ohutusjuurdluse keskus</t>
  </si>
  <si>
    <t>TRTR0401</t>
  </si>
  <si>
    <t>Liikuvusteenuse arendamine ja soodustamine</t>
  </si>
  <si>
    <t>KÄIBEMAKS  KOKKU</t>
  </si>
  <si>
    <t>Investeeringud (sh abikõlbmatu RRFi km)</t>
  </si>
  <si>
    <t>Investeeringud (ATKL km)</t>
  </si>
  <si>
    <t>Investeeringud (RB maade soetamine)</t>
  </si>
  <si>
    <t xml:space="preserve">Kulud - investeeringutoetused </t>
  </si>
  <si>
    <t>TEN-T transiitteede rekonstrueerimistööd Narva</t>
  </si>
  <si>
    <t>Finantseerimistegevuseks antud sihtfinantseerimine (korterelamute rekonstrueerimise rahastu - EIS)</t>
  </si>
  <si>
    <t>Finantseerimistegevuseks antud sihtfinantseerimine (EstFund II, ettevõtlus- ja maapiirkondade eluasemelaenude käendused, NATO innovatsioonifond - EIS)</t>
  </si>
  <si>
    <t>Kulud (energiahinna tõusu leevendamine)</t>
  </si>
  <si>
    <t>Kulud - investeeringutoetus KIKi kaudu</t>
  </si>
  <si>
    <t>Kulud - investeeringutoetused EIS-i ja RTK kaudu</t>
  </si>
  <si>
    <t>Kulud - tegevustoetused RTK kaudu</t>
  </si>
  <si>
    <t>Kulud (teadus- ja arendustegev tegevustoetused EIS-i kaudu)</t>
  </si>
  <si>
    <t>Kulud (teadus- ja arendustegev tegevustoetused EIS-i ja RTK kaudu)</t>
  </si>
  <si>
    <t>Kulud (teadus- ja arendustegev vesiniku IPCEI projektid)</t>
  </si>
  <si>
    <t>Kulud - investeeringutoetus EIS-i kaudu</t>
  </si>
  <si>
    <t>Kulud (energiasäästumeetmed korterelamutes - EIS-i kaudu)</t>
  </si>
  <si>
    <t>Kulud (sh tegevustoetus EIS-ile)</t>
  </si>
  <si>
    <t>Kulud - tegevustoetused EIS-i ja RTK kaudu</t>
  </si>
  <si>
    <t>Kulud (teadus- ja arendustegev investeeringutoetus)</t>
  </si>
  <si>
    <t>Kulud - tegevustoetused EIS-i kaudu</t>
  </si>
  <si>
    <t>Kulud - investeeringutoetused EIS-i kaudu</t>
  </si>
  <si>
    <t>Investeeringud (Riigilaevastik)</t>
  </si>
  <si>
    <t>Kulud - investeeringutoetus AS-ile Eesti Raudtee</t>
  </si>
  <si>
    <t>Kulud (sh RB tegevustoetused)</t>
  </si>
  <si>
    <t>Kulud (sh Riigilaevastik)</t>
  </si>
  <si>
    <t>Kulud - investeeringutoetus RTK kaudu (AS-ile Saarte Liinid)</t>
  </si>
  <si>
    <t>Kulud (sh tegevustoetus AS-ile Tallinna Lennujaam)</t>
  </si>
  <si>
    <t>Kulud - investeeringutoetus Pärnu linnale</t>
  </si>
  <si>
    <t>Kulud - investeeringutoetus Kadrina vallale</t>
  </si>
  <si>
    <t>Kulud - investeeringutoetus RTK kaudu</t>
  </si>
  <si>
    <t>Kulud (sh ühistranspordi dotatsioonid)</t>
  </si>
  <si>
    <t>Kulud (sh abikõlbmatu RRFi km)</t>
  </si>
  <si>
    <t>EELARVE_ULE</t>
  </si>
  <si>
    <t>2023_01</t>
  </si>
  <si>
    <t>Sisemised muudatused</t>
  </si>
  <si>
    <t>MINISTRI_LIIGENDUS</t>
  </si>
  <si>
    <t>SE000080</t>
  </si>
  <si>
    <t>2022 LEA</t>
  </si>
  <si>
    <t>SR07A064</t>
  </si>
  <si>
    <t>IT vajaku kompenseerimine</t>
  </si>
  <si>
    <t>IN070984</t>
  </si>
  <si>
    <t>LEA2022 Energiaühendused</t>
  </si>
  <si>
    <t>IN002080</t>
  </si>
  <si>
    <t>2022 LEA IT investeeringud</t>
  </si>
  <si>
    <t>SR070162</t>
  </si>
  <si>
    <t>Digiriigi kesksed teenused</t>
  </si>
  <si>
    <t>SR070135</t>
  </si>
  <si>
    <t>IT vajaku kompenseerimine (2)</t>
  </si>
  <si>
    <t>IN070068</t>
  </si>
  <si>
    <t>KOV elamufondi investeeringute toetamine</t>
  </si>
  <si>
    <t>VR070194</t>
  </si>
  <si>
    <t>UA sõjast tulenevad sanktsioonid</t>
  </si>
  <si>
    <t>IN000099</t>
  </si>
  <si>
    <t>Täiendavad investeeringutoetused</t>
  </si>
  <si>
    <t>SR070101</t>
  </si>
  <si>
    <t>Reisiparvlaev Estonia allveeuuring</t>
  </si>
  <si>
    <t>IN070097</t>
  </si>
  <si>
    <t>Haapsalu raudtee II etapp</t>
  </si>
  <si>
    <t>SE070001</t>
  </si>
  <si>
    <t>Avalikult kasut kohalike teede hoid</t>
  </si>
  <si>
    <t>SR070141</t>
  </si>
  <si>
    <t>Võhma-Kahala kergliiklustee rajamine</t>
  </si>
  <si>
    <t>Osalused avaliku sektori ja siduüksustes (sh Rail Baltic Estonia OÜ)</t>
  </si>
  <si>
    <t>Osalused avaliku sektori ja siduüksustes (sh AS Eesti Varude Keskus)</t>
  </si>
  <si>
    <t>Suundumuste, riskide ja mõjude analüüsivõime arendamine</t>
  </si>
  <si>
    <t>2022. a-st erak ülek vahendid MKMi 23.01.2023 KK nr 4</t>
  </si>
  <si>
    <t>Kulud (teadus- ja arendustegev, sh EIS)</t>
  </si>
  <si>
    <t>PROGRAMM  ENERGEETIKA  JA  MAAVARAD</t>
  </si>
  <si>
    <t>RESERV</t>
  </si>
  <si>
    <t>2023_03</t>
  </si>
  <si>
    <t>MINISTRI_ LIIGENDUS</t>
  </si>
  <si>
    <t>VR070063</t>
  </si>
  <si>
    <t>Kommertsliinidel tasuta vedamise kohust</t>
  </si>
  <si>
    <t>VR070077</t>
  </si>
  <si>
    <t>Energiahindade komp kodutarbijatele 2023</t>
  </si>
  <si>
    <r>
      <rPr>
        <sz val="10"/>
        <color rgb="FF0000FF"/>
        <rFont val="Times New Roman"/>
        <family val="1"/>
        <charset val="186"/>
      </rPr>
      <t>*</t>
    </r>
    <r>
      <rPr>
        <sz val="10"/>
        <color indexed="8"/>
        <rFont val="Times New Roman"/>
        <family val="1"/>
        <charset val="186"/>
      </rPr>
      <t xml:space="preserve">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  </r>
  </si>
  <si>
    <r>
      <rPr>
        <sz val="10"/>
        <color rgb="FF0000FF"/>
        <rFont val="Times New Roman"/>
        <family val="1"/>
        <charset val="186"/>
      </rPr>
      <t>**</t>
    </r>
    <r>
      <rPr>
        <sz val="10"/>
        <rFont val="Times New Roman"/>
        <family val="1"/>
        <charset val="186"/>
      </rPr>
      <t xml:space="preserve"> Kindlaksmääratud vahenditest (liik 20) antavate sihtotstabeliste ja tegevustoetuste nimekiri saajate lõikes on käskkirja lisas 8</t>
    </r>
  </si>
  <si>
    <t>TULEMUSVALDKOND  DIGIÜHISKOND</t>
  </si>
  <si>
    <t>TULEMUSVALDKOND  TEADUS-  JA  ARENDUSTEGEVUS  NING  ETTEVÕTLUS</t>
  </si>
  <si>
    <t>2023_05</t>
  </si>
  <si>
    <t>SEADUSE_ MUUDATUS</t>
  </si>
  <si>
    <t>2023 RE seaduse muudatus (I pa)</t>
  </si>
  <si>
    <t>RaM 03.04.2023 kk nr 77</t>
  </si>
  <si>
    <t>2023_04</t>
  </si>
  <si>
    <t>VR070052</t>
  </si>
  <si>
    <t>Elektri, gaasi ja võrgut. komp.</t>
  </si>
  <si>
    <t>VR07A093</t>
  </si>
  <si>
    <t>Kaugkütte komp. kodutarbijale</t>
  </si>
  <si>
    <t>OR070055</t>
  </si>
  <si>
    <t>Lammutusjäätmete ringlussevõtu uuring</t>
  </si>
  <si>
    <t>SR070077</t>
  </si>
  <si>
    <t>IT vajaku kompenseerimine 4</t>
  </si>
  <si>
    <t>TULEMUSVALDKOND  HEAOLU</t>
  </si>
  <si>
    <t>HE010101</t>
  </si>
  <si>
    <t>HE010102</t>
  </si>
  <si>
    <t>HE010103</t>
  </si>
  <si>
    <t>Tööturuvaldkonna arendamine</t>
  </si>
  <si>
    <t>Aktiivsed ja passiivsed tööturuteenused</t>
  </si>
  <si>
    <t>Tööelu kvaliteedi arendamine</t>
  </si>
  <si>
    <t>PROGRAMM  SOOLINE VÕRDSUS JA VÕRDNE KOHTLEMINE</t>
  </si>
  <si>
    <t>HE090101</t>
  </si>
  <si>
    <t>HE090102</t>
  </si>
  <si>
    <t>Soolise võrdõiguslikkuse valdkonna arendamine</t>
  </si>
  <si>
    <t>Võrdse kohtlemise valdkonna arendamine</t>
  </si>
  <si>
    <t>SE070014</t>
  </si>
  <si>
    <t>SE070015</t>
  </si>
  <si>
    <t>SE070026</t>
  </si>
  <si>
    <t>SE070027</t>
  </si>
  <si>
    <t>SE000013</t>
  </si>
  <si>
    <t>Töötuskindlustusmakse</t>
  </si>
  <si>
    <t>Töötutoetus Töötukassale</t>
  </si>
  <si>
    <t>Erijuhtudel riigi poolt makstav sot</t>
  </si>
  <si>
    <t>Töövõimet, osal -võime sotsiaalmaks</t>
  </si>
  <si>
    <t>Töövõimetoetus</t>
  </si>
  <si>
    <t>SE000017</t>
  </si>
  <si>
    <t>Hasartmängumaksust töö-tervis-sotsiaal</t>
  </si>
  <si>
    <t>2023_08;       2023_09</t>
  </si>
  <si>
    <t>2022. a-st ülek vahendid MKMi 22.06.2023 KK nr 119</t>
  </si>
  <si>
    <t xml:space="preserve">TÖÖTURU  PROGRAMM  </t>
  </si>
  <si>
    <t>VV 02.03.2023 korraldus nr 77</t>
  </si>
  <si>
    <t>2023_08</t>
  </si>
  <si>
    <t>9N10-RR20-01112-INAR</t>
  </si>
  <si>
    <t>tõsta TI-sse</t>
  </si>
  <si>
    <t>ettevõtlus- ja infotehnoloogiaministri ning majandus- ja taristuministri käskkirja "Majandus- ja                                                                                                                                                                               Kommunikatsiooniministeeriumi ja tema valitsemisala asutuste 2023. a eelarvete kinnitamine"  juurde (muudetud sõnastuses)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</si>
</sst>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0000FF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1"/>
      <name val="Calibri"/>
      <family val="2"/>
      <scheme val="minor"/>
    </font>
    <font>
      <b/>
      <sz val="9.5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3" fontId="5" fillId="0" borderId="0" xfId="1" applyNumberFormat="1" applyFont="1" applyAlignment="1">
      <alignment horizontal="right" wrapText="1"/>
    </xf>
    <xf numFmtId="3" fontId="6" fillId="0" borderId="0" xfId="1" applyNumberFormat="1" applyFont="1" applyAlignment="1" applyProtection="1">
      <alignment horizontal="right"/>
      <protection hidden="1"/>
    </xf>
    <xf numFmtId="3" fontId="7" fillId="0" borderId="0" xfId="1" applyNumberFormat="1" applyFont="1" applyAlignment="1">
      <alignment horizontal="right" wrapText="1"/>
    </xf>
    <xf numFmtId="3" fontId="8" fillId="0" borderId="0" xfId="1" applyNumberFormat="1" applyFont="1" applyAlignment="1">
      <alignment horizontal="right" wrapText="1"/>
    </xf>
    <xf numFmtId="0" fontId="9" fillId="0" borderId="0" xfId="0" applyFont="1" applyAlignment="1">
      <alignment horizontal="right"/>
    </xf>
    <xf numFmtId="49" fontId="5" fillId="0" borderId="0" xfId="1" applyNumberFormat="1" applyFont="1" applyAlignment="1">
      <alignment horizontal="right" wrapText="1"/>
    </xf>
    <xf numFmtId="49" fontId="5" fillId="0" borderId="0" xfId="1" applyNumberFormat="1" applyFont="1" applyAlignment="1">
      <alignment horizontal="right"/>
    </xf>
    <xf numFmtId="3" fontId="8" fillId="0" borderId="0" xfId="1" applyNumberFormat="1" applyFont="1" applyAlignment="1">
      <alignment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3" fillId="0" borderId="1" xfId="2" applyFont="1" applyBorder="1" applyAlignment="1">
      <alignment vertical="center" wrapText="1"/>
    </xf>
    <xf numFmtId="0" fontId="13" fillId="0" borderId="1" xfId="2" applyFont="1" applyBorder="1" applyAlignment="1">
      <alignment horizontal="right" vertical="center" wrapText="1"/>
    </xf>
    <xf numFmtId="3" fontId="14" fillId="0" borderId="1" xfId="2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3" fillId="2" borderId="1" xfId="2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6" fillId="0" borderId="1" xfId="1" applyFont="1" applyBorder="1" applyAlignment="1">
      <alignment vertical="center"/>
    </xf>
    <xf numFmtId="0" fontId="16" fillId="0" borderId="1" xfId="3" applyFont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3" fontId="10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16" fillId="0" borderId="1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16" fillId="0" borderId="0" xfId="0" applyFont="1"/>
    <xf numFmtId="0" fontId="18" fillId="0" borderId="0" xfId="0" applyFont="1" applyAlignment="1">
      <alignment wrapText="1"/>
    </xf>
    <xf numFmtId="0" fontId="18" fillId="0" borderId="0" xfId="0" applyFont="1"/>
    <xf numFmtId="0" fontId="2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4" fontId="10" fillId="3" borderId="1" xfId="2" applyNumberFormat="1" applyFont="1" applyFill="1" applyBorder="1" applyAlignment="1">
      <alignment horizontal="left" vertical="center" wrapText="1"/>
    </xf>
    <xf numFmtId="4" fontId="20" fillId="0" borderId="1" xfId="2" applyNumberFormat="1" applyFont="1" applyBorder="1" applyAlignment="1">
      <alignment horizontal="center" vertical="center" wrapText="1"/>
    </xf>
    <xf numFmtId="3" fontId="21" fillId="0" borderId="1" xfId="2" applyNumberFormat="1" applyFont="1" applyBorder="1" applyAlignment="1">
      <alignment horizontal="center" vertical="center" wrapText="1"/>
    </xf>
    <xf numFmtId="3" fontId="2" fillId="0" borderId="0" xfId="0" applyNumberFormat="1" applyFont="1"/>
    <xf numFmtId="3" fontId="2" fillId="0" borderId="0" xfId="0" applyNumberFormat="1" applyFont="1" applyAlignment="1">
      <alignment wrapText="1"/>
    </xf>
    <xf numFmtId="3" fontId="19" fillId="3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 wrapText="1"/>
    </xf>
    <xf numFmtId="3" fontId="0" fillId="0" borderId="0" xfId="0" applyNumberFormat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3" fontId="0" fillId="0" borderId="1" xfId="0" applyNumberFormat="1" applyBorder="1"/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49" fontId="23" fillId="4" borderId="6" xfId="0" applyNumberFormat="1" applyFont="1" applyFill="1" applyBorder="1"/>
    <xf numFmtId="0" fontId="24" fillId="4" borderId="0" xfId="0" applyFont="1" applyFill="1"/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left" vertical="top" wrapText="1"/>
    </xf>
    <xf numFmtId="0" fontId="15" fillId="3" borderId="1" xfId="1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5" fillId="2" borderId="1" xfId="1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left" vertical="center"/>
    </xf>
  </cellXfs>
  <cellStyles count="4">
    <cellStyle name="Normaallaad" xfId="0" builtinId="0"/>
    <cellStyle name="Normaallaad 2" xfId="1" xr:uid="{441FBC06-C4F2-4DAB-A8F3-6AD3F05C3CFF}"/>
    <cellStyle name="Normaallaad 4" xfId="2" xr:uid="{292515DE-10FD-4493-A338-BCD5E2B9ECBE}"/>
    <cellStyle name="Normal 25" xfId="3" xr:uid="{F9CD2E1A-FCE7-4780-BEA8-0A1367060B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Siemann" id="{71A87EF6-EAE1-4C7B-B5CA-BB63CB343BB9}" userId="S::helena.siemann@mkm.ee::a2a5646e-d671-4de3-8c70-452613050e74" providerId="AD"/>
  <person displayName="Krista Fazijev" id="{3AC55D67-FB75-4209-999D-7E4E6DC6F823}" userId="S::krista.fazijev@mkm.ee::87d024f3-374d-4c61-833f-1dd39a9c49f4" providerId="AD"/>
</personList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5" dT="2022-12-29T18:04:52.71" personId="{3AC55D67-FB75-4209-999D-7E4E6DC6F823}" id="{4306BDE6-4CAB-455C-8C06-6DE27F3F7044}">
    <text>Kulumudeliga liigid ei lähe kokku, pane tähele</text>
  </threadedComment>
  <threadedComment ref="G25" dT="2022-12-29T16:17:46.14" personId="{3AC55D67-FB75-4209-999D-7E4E6DC6F823}" id="{F5E44040-615E-4E75-BBD9-86F0150005CB}">
    <text>Lahutasin konto 381 juures liik 40lt liigi 60 maha</text>
  </threadedComment>
  <threadedComment ref="F28" dT="2022-08-25T14:23:44.90" personId="{3AC55D67-FB75-4209-999D-7E4E6DC6F823}" id="{6DB3F2F8-5373-48D1-B622-467197891ABC}">
    <text>konto 150</text>
  </threadedComment>
  <threadedComment ref="C31" dT="2022-10-20T13:19:39.30" personId="{3AC55D67-FB75-4209-999D-7E4E6DC6F823}" id="{123180FD-3235-4580-8AFB-9A1CE6104353}">
    <text>KAISis konto 41</text>
  </threadedComment>
  <threadedComment ref="C31" dT="2022-12-29T18:05:06.98" personId="{3AC55D67-FB75-4209-999D-7E4E6DC6F823}" id="{B4A93145-0701-482D-B7A7-8EE48182BDCE}" parentId="{123180FD-3235-4580-8AFB-9A1CE6104353}">
    <text>Kulumudelis liigid ei lähe kokku, pane tähele</text>
  </threadedComment>
  <threadedComment ref="G31" dT="2022-12-29T18:05:23.35" personId="{3AC55D67-FB75-4209-999D-7E4E6DC6F823}" id="{22A7596B-6634-445F-A195-5BF45079DFD3}">
    <text>Liigiline erinevus KAISiga</text>
  </threadedComment>
  <threadedComment ref="H48" dT="2023-01-20T11:24:14.38" personId="{3AC55D67-FB75-4209-999D-7E4E6DC6F823}" id="{9F5BA1DC-3898-47D6-9239-97F36DE5F8AD}">
    <text>EVK teraviljavaru soetamine</text>
  </threadedComment>
  <threadedComment ref="I114" dT="2023-01-23T14:02:08.31" personId="{71A87EF6-EAE1-4C7B-B5CA-BB63CB343BB9}" id="{97878279-3546-4127-AB24-428005713064}">
    <text>17,1 tuh andmesaatkonna internetiühenduseks RIA-le + 150 tuh RIKSile inv toetuste arvelt</text>
  </threadedComment>
  <threadedComment ref="O114" dT="2023-07-27T15:23:41.65" personId="{71A87EF6-EAE1-4C7B-B5CA-BB63CB343BB9}" id="{75C0AACD-553D-4AD7-8060-508108AA330A}">
    <text>RITile infoturbe tagamiseks</text>
  </threadedComment>
  <threadedComment ref="I116" dT="2023-01-23T15:32:47.39" personId="{71A87EF6-EAE1-4C7B-B5CA-BB63CB343BB9}" id="{2E016B84-A9FB-4E9F-973C-8DFF9368CCA8}">
    <text>150 tuh RIKS suunas oma tegev toetusesse</text>
  </threadedComment>
  <threadedComment ref="I174" dT="2023-01-23T14:03:17.31" personId="{71A87EF6-EAE1-4C7B-B5CA-BB63CB343BB9}" id="{FCCE319A-20F1-41AE-B505-2EB092BD6E85}">
    <text>Vähendati RIA TA 1% eelarvet</text>
  </threadedComment>
  <threadedComment ref="O174" dT="2023-07-27T15:11:25.05" personId="{71A87EF6-EAE1-4C7B-B5CA-BB63CB343BB9}" id="{476AD39A-66D8-4EC5-817F-6C7DE7E958B1}">
    <text>RIA TA inv eelarvest MKMile</text>
  </threadedComment>
  <threadedComment ref="I176" dT="2023-01-23T14:03:25.18" personId="{71A87EF6-EAE1-4C7B-B5CA-BB63CB343BB9}" id="{1BDD3009-8AF1-460C-A397-526BC7D7B675}">
    <text>70 tuh vähendati RIA TA 1% eelarvet + 138 tuh EISi grandile "arendusvoi" + 1 M inv toetustest tegev toetustesse (RTE)</text>
  </threadedComment>
  <threadedComment ref="I177" dT="2023-01-27T10:12:06.18" personId="{71A87EF6-EAE1-4C7B-B5CA-BB63CB343BB9}" id="{37B1C0D1-18B3-43DE-B3AE-F017CBADDB28}">
    <text>1 M suunatud TA 1% tegev toetuste eelarvesse (RTE)</text>
  </threadedComment>
  <threadedComment ref="I246" dT="2023-01-23T15:10:53.94" personId="{71A87EF6-EAE1-4C7B-B5CA-BB63CB343BB9}" id="{4C2E662C-3B56-482E-AADA-F2D45CAC9925}">
    <text>EIS: 138 tuh grandilt "uusturg" suunatud grandile "arendusvoi" + 75 tuh võetud grandilt "turism" MKMile Tallinna Strateegiakeskusele konverentsi Green Destinations korraldamiseks</text>
  </threadedComment>
  <threadedComment ref="I270" dT="2023-01-23T14:04:33.57" personId="{71A87EF6-EAE1-4C7B-B5CA-BB63CB343BB9}" id="{A42B409C-D8D6-4E7C-92BD-52FB06E27CE7}">
    <text>RiL-ile</text>
  </threadedComment>
  <threadedComment ref="I271" dT="2023-01-23T14:04:37.53" personId="{71A87EF6-EAE1-4C7B-B5CA-BB63CB343BB9}" id="{36A5164A-55B2-4B05-8ED2-DE832888B4D7}">
    <text>RiL-ile</text>
  </threadedComment>
  <threadedComment ref="I297" dT="2023-01-23T14:04:46.93" personId="{71A87EF6-EAE1-4C7B-B5CA-BB63CB343BB9}" id="{306DD25A-DB13-4FAD-B490-4782B6C4D2A4}">
    <text>RiL-ile</text>
  </threadedComment>
  <threadedComment ref="I379" dT="2023-01-23T14:05:07.99" personId="{71A87EF6-EAE1-4C7B-B5CA-BB63CB343BB9}" id="{8A7D0425-FE48-4C10-9CAC-131925F29999}">
    <text>RiL-ile</text>
  </threadedComment>
  <threadedComment ref="I380" dT="2023-01-23T14:05:19.24" personId="{71A87EF6-EAE1-4C7B-B5CA-BB63CB343BB9}" id="{E451606C-CC5A-4358-82B8-B55856121004}">
    <text>RiL-ile</text>
  </threadedComment>
  <threadedComment ref="I381" dT="2023-01-23T14:05:24.55" personId="{71A87EF6-EAE1-4C7B-B5CA-BB63CB343BB9}" id="{E217CF67-3A1E-4A33-A935-C83682927785}">
    <text>RiL-ile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759E2-5546-46B9-8053-CA8F276B3268}">
  <dimension ref="A1:U393"/>
  <sheetViews>
    <sheetView tabSelected="1" zoomScale="90" zoomScaleNormal="90" workbookViewId="0">
      <selection activeCell="J4" sqref="J4"/>
    </sheetView>
  </sheetViews>
  <sheetFormatPr defaultRowHeight="14.4" outlineLevelCol="1" x14ac:dyDescent="0.3"/>
  <cols>
    <col min="1" max="1" width="11.44140625" customWidth="1"/>
    <col min="2" max="2" width="24.33203125" style="6" customWidth="1"/>
    <col min="3" max="3" width="7.88671875" customWidth="1"/>
    <col min="4" max="4" width="9.88671875" customWidth="1"/>
    <col min="5" max="5" width="33.5546875" customWidth="1"/>
    <col min="6" max="6" width="38.5546875" customWidth="1"/>
    <col min="7" max="7" width="16.109375" hidden="1" customWidth="1" outlineLevel="1" collapsed="1"/>
    <col min="8" max="8" width="15.44140625" hidden="1" customWidth="1" outlineLevel="1"/>
    <col min="9" max="9" width="11.5546875" hidden="1" customWidth="1" outlineLevel="1"/>
    <col min="10" max="10" width="13.109375" customWidth="1" collapsed="1"/>
    <col min="11" max="12" width="13.5546875" customWidth="1"/>
    <col min="13" max="13" width="13.5546875" style="61" customWidth="1"/>
    <col min="14" max="14" width="13.5546875" customWidth="1"/>
    <col min="15" max="15" width="12.109375" customWidth="1"/>
    <col min="16" max="16" width="13.109375" customWidth="1"/>
  </cols>
  <sheetData>
    <row r="1" spans="1:21" s="1" customFormat="1" ht="13.8" thickBot="1" x14ac:dyDescent="0.3">
      <c r="B1" s="2"/>
      <c r="M1" s="56"/>
      <c r="P1" s="3" t="s">
        <v>0</v>
      </c>
    </row>
    <row r="2" spans="1:21" s="1" customFormat="1" ht="13.2" customHeight="1" x14ac:dyDescent="0.3">
      <c r="B2" s="2"/>
      <c r="G2" s="4"/>
      <c r="H2" s="4"/>
      <c r="I2" s="4"/>
      <c r="J2" s="81" t="s">
        <v>346</v>
      </c>
      <c r="K2" s="82"/>
      <c r="L2" s="82"/>
      <c r="M2" s="82"/>
      <c r="N2" s="82"/>
      <c r="O2" s="82"/>
      <c r="P2" s="82"/>
      <c r="R2" s="79" t="s">
        <v>344</v>
      </c>
      <c r="S2" s="80"/>
      <c r="T2" s="80"/>
    </row>
    <row r="3" spans="1:21" s="1" customFormat="1" ht="14.4" customHeight="1" x14ac:dyDescent="0.25">
      <c r="B3" s="2"/>
      <c r="E3" s="2"/>
      <c r="F3" s="4"/>
      <c r="G3" s="4"/>
      <c r="H3" s="4"/>
      <c r="I3" s="4"/>
      <c r="J3" s="82"/>
      <c r="K3" s="82"/>
      <c r="L3" s="82"/>
      <c r="M3" s="82"/>
      <c r="N3" s="82"/>
      <c r="O3" s="82"/>
      <c r="P3" s="82"/>
      <c r="R3" s="80" t="s">
        <v>127</v>
      </c>
      <c r="S3" s="80"/>
      <c r="T3" s="80">
        <v>25040</v>
      </c>
      <c r="U3" s="80" t="s">
        <v>345</v>
      </c>
    </row>
    <row r="4" spans="1:21" s="1" customFormat="1" ht="13.2" customHeight="1" x14ac:dyDescent="0.25">
      <c r="B4" s="2"/>
      <c r="E4" s="4"/>
      <c r="F4" s="4"/>
      <c r="G4" s="4"/>
      <c r="H4" s="4"/>
      <c r="I4" s="4"/>
      <c r="J4" s="4"/>
      <c r="K4" s="2"/>
      <c r="L4" s="2"/>
      <c r="M4" s="57"/>
      <c r="N4" s="2"/>
      <c r="O4" s="2"/>
      <c r="R4" s="80" t="s">
        <v>118</v>
      </c>
      <c r="S4" s="80"/>
      <c r="T4" s="80"/>
    </row>
    <row r="5" spans="1:21" s="1" customFormat="1" ht="13.2" x14ac:dyDescent="0.25">
      <c r="A5" s="5" t="s">
        <v>1</v>
      </c>
      <c r="B5" s="2"/>
      <c r="M5" s="56"/>
    </row>
    <row r="6" spans="1:21" x14ac:dyDescent="0.3">
      <c r="F6" s="7" t="s">
        <v>2</v>
      </c>
      <c r="G6" s="8">
        <f>+SUBTOTAL(9, G19:G26)</f>
        <v>616635021</v>
      </c>
      <c r="H6" s="8">
        <f>+SUBTOTAL(9, H19:H26)</f>
        <v>0</v>
      </c>
      <c r="I6" s="8">
        <f t="shared" ref="I6:J6" si="0">+SUBTOTAL(9, I19:I26)</f>
        <v>0</v>
      </c>
      <c r="J6" s="8">
        <f t="shared" si="0"/>
        <v>616635021</v>
      </c>
      <c r="K6" s="8">
        <f t="shared" ref="K6:O6" si="1">+SUBTOTAL(9, K19:K26)</f>
        <v>0</v>
      </c>
      <c r="L6" s="8">
        <f t="shared" ref="L6" si="2">+SUBTOTAL(9, L19:L26)</f>
        <v>0</v>
      </c>
      <c r="M6" s="8">
        <f t="shared" ref="M6:N6" si="3">+SUBTOTAL(9, M19:M26)</f>
        <v>0</v>
      </c>
      <c r="N6" s="8">
        <f t="shared" si="3"/>
        <v>-203153466.79000002</v>
      </c>
      <c r="O6" s="8">
        <f t="shared" si="1"/>
        <v>0</v>
      </c>
      <c r="P6" s="8">
        <f>+SUBTOTAL(9, P19:P26)</f>
        <v>413481554.20999998</v>
      </c>
    </row>
    <row r="7" spans="1:21" x14ac:dyDescent="0.3">
      <c r="F7" s="9" t="s">
        <v>3</v>
      </c>
      <c r="G7" s="10">
        <f>SUM(G6)</f>
        <v>616635021</v>
      </c>
      <c r="H7" s="10">
        <f>SUM(H6)</f>
        <v>0</v>
      </c>
      <c r="I7" s="10">
        <f t="shared" ref="I7:J7" si="4">SUM(I6)</f>
        <v>0</v>
      </c>
      <c r="J7" s="10">
        <f t="shared" si="4"/>
        <v>616635021</v>
      </c>
      <c r="K7" s="10">
        <f t="shared" ref="K7:O7" si="5">SUM(K6)</f>
        <v>0</v>
      </c>
      <c r="L7" s="10">
        <f t="shared" ref="L7" si="6">SUM(L6)</f>
        <v>0</v>
      </c>
      <c r="M7" s="10">
        <f t="shared" ref="M7:N7" si="7">SUM(M6)</f>
        <v>0</v>
      </c>
      <c r="N7" s="10">
        <f t="shared" si="7"/>
        <v>-203153466.79000002</v>
      </c>
      <c r="O7" s="10">
        <f t="shared" si="5"/>
        <v>0</v>
      </c>
      <c r="P7" s="10">
        <f>SUM(P6)</f>
        <v>413481554.20999998</v>
      </c>
    </row>
    <row r="8" spans="1:21" x14ac:dyDescent="0.3">
      <c r="F8" s="11" t="s">
        <v>4</v>
      </c>
      <c r="G8" s="7">
        <f>+SUBTOTAL(9, G28:G31)</f>
        <v>-217575000</v>
      </c>
      <c r="H8" s="7">
        <f>+SUBTOTAL(9, H28:H31)</f>
        <v>-70300000</v>
      </c>
      <c r="I8" s="7">
        <f t="shared" ref="I8:J8" si="8">+SUBTOTAL(9, I28:I31)</f>
        <v>0</v>
      </c>
      <c r="J8" s="7">
        <f t="shared" si="8"/>
        <v>-287875000</v>
      </c>
      <c r="K8" s="7">
        <f t="shared" ref="K8:O8" si="9">+SUBTOTAL(9, K28:K31)</f>
        <v>0</v>
      </c>
      <c r="L8" s="7">
        <f t="shared" ref="L8" si="10">+SUBTOTAL(9, L28:L31)</f>
        <v>0</v>
      </c>
      <c r="M8" s="7">
        <f t="shared" ref="M8" si="11">+SUBTOTAL(9, M28:M31)</f>
        <v>0</v>
      </c>
      <c r="N8" s="7">
        <f>+SUBTOTAL(9, N28:N31)</f>
        <v>12575000</v>
      </c>
      <c r="O8" s="7">
        <f t="shared" si="9"/>
        <v>0</v>
      </c>
      <c r="P8" s="7">
        <f>+SUBTOTAL(9, P28:P31)</f>
        <v>-275300000</v>
      </c>
    </row>
    <row r="9" spans="1:21" x14ac:dyDescent="0.3">
      <c r="F9" s="9" t="s">
        <v>5</v>
      </c>
      <c r="G9" s="10">
        <f>SUM(G8)</f>
        <v>-217575000</v>
      </c>
      <c r="H9" s="10">
        <f>SUM(H8)</f>
        <v>-70300000</v>
      </c>
      <c r="I9" s="10">
        <f t="shared" ref="I9:J9" si="12">SUM(I8)</f>
        <v>0</v>
      </c>
      <c r="J9" s="10">
        <f t="shared" si="12"/>
        <v>-287875000</v>
      </c>
      <c r="K9" s="10">
        <f t="shared" ref="K9:O9" si="13">SUM(K8)</f>
        <v>0</v>
      </c>
      <c r="L9" s="10">
        <f t="shared" ref="L9" si="14">SUM(L8)</f>
        <v>0</v>
      </c>
      <c r="M9" s="10">
        <f t="shared" ref="M9" si="15">SUM(M8)</f>
        <v>0</v>
      </c>
      <c r="N9" s="10">
        <f>SUM(N8)</f>
        <v>12575000</v>
      </c>
      <c r="O9" s="10">
        <f t="shared" si="13"/>
        <v>0</v>
      </c>
      <c r="P9" s="10">
        <f>SUM(P8)</f>
        <v>-275300000</v>
      </c>
    </row>
    <row r="10" spans="1:21" x14ac:dyDescent="0.3">
      <c r="F10" s="12" t="s">
        <v>6</v>
      </c>
      <c r="G10" s="8">
        <f t="shared" ref="G10:O10" si="16">+SUMIF($F$35:$F$379, "Investeeringud*", G$35:G$379)</f>
        <v>-18257443.998920001</v>
      </c>
      <c r="H10" s="8">
        <f t="shared" si="16"/>
        <v>-513445</v>
      </c>
      <c r="I10" s="8">
        <f t="shared" si="16"/>
        <v>481695</v>
      </c>
      <c r="J10" s="8">
        <f t="shared" si="16"/>
        <v>-18289193.998920001</v>
      </c>
      <c r="K10" s="8">
        <f t="shared" si="16"/>
        <v>0</v>
      </c>
      <c r="L10" s="8">
        <f t="shared" si="16"/>
        <v>0</v>
      </c>
      <c r="M10" s="8">
        <f t="shared" si="16"/>
        <v>-2604027.1399499997</v>
      </c>
      <c r="N10" s="8">
        <f t="shared" si="16"/>
        <v>11993179.91007</v>
      </c>
      <c r="O10" s="8">
        <f t="shared" si="16"/>
        <v>-500000</v>
      </c>
      <c r="P10" s="8">
        <f ca="1">+SUMIF($F$35:$I$377, "Investeeringud*", P$35:P$377)</f>
        <v>-9400041.2288000006</v>
      </c>
    </row>
    <row r="11" spans="1:21" x14ac:dyDescent="0.3">
      <c r="F11" s="13" t="s">
        <v>7</v>
      </c>
      <c r="G11" s="8">
        <f t="shared" ref="G11:L11" si="17">SUMIF($F$35:$F$352,"Kulud*",G$35:G$352)</f>
        <v>-1040105614.0220723</v>
      </c>
      <c r="H11" s="8">
        <f t="shared" si="17"/>
        <v>-32115542.449795999</v>
      </c>
      <c r="I11" s="8">
        <f t="shared" si="17"/>
        <v>6132905</v>
      </c>
      <c r="J11" s="8">
        <f t="shared" si="17"/>
        <v>-1066088251.4718683</v>
      </c>
      <c r="K11" s="8">
        <f t="shared" si="17"/>
        <v>-25000000</v>
      </c>
      <c r="L11" s="8">
        <f t="shared" si="17"/>
        <v>-1814353</v>
      </c>
      <c r="M11" s="8">
        <f>SUMIF($F$35:$F$352,"Kulud*",M$35:M$352)-1</f>
        <v>-59308893.914666317</v>
      </c>
      <c r="N11" s="8">
        <f ca="1">SUMIF($F$35:$I$377,"Kulud*",N$35:N$377)</f>
        <v>-153573158.81437716</v>
      </c>
      <c r="O11" s="8">
        <f>SUMIF($F$35:$F$352,"Kulud*",O$35:O$352)</f>
        <v>60000</v>
      </c>
      <c r="P11" s="8">
        <f>SUMIF($F$35:$F$377,"Kulud*",P$35:P$377)-1</f>
        <v>-1305724657.2009118</v>
      </c>
    </row>
    <row r="12" spans="1:21" x14ac:dyDescent="0.3">
      <c r="F12" s="7" t="s">
        <v>8</v>
      </c>
      <c r="G12" s="8">
        <f t="shared" ref="G12:M12" si="18">SUMIF($F$35:$F$352,"Põhivara kulum*",G$35:G$352)</f>
        <v>-843375.9999500002</v>
      </c>
      <c r="H12" s="8">
        <f t="shared" si="18"/>
        <v>0</v>
      </c>
      <c r="I12" s="8">
        <f t="shared" si="18"/>
        <v>0</v>
      </c>
      <c r="J12" s="8">
        <f t="shared" si="18"/>
        <v>-843375.9999500002</v>
      </c>
      <c r="K12" s="8">
        <f t="shared" si="18"/>
        <v>0</v>
      </c>
      <c r="L12" s="8">
        <f t="shared" si="18"/>
        <v>0</v>
      </c>
      <c r="M12" s="8">
        <f t="shared" si="18"/>
        <v>0</v>
      </c>
      <c r="N12" s="8">
        <f>SUMIF($F$35:$F$377,"Põhivara kulum*",N$35:N$377)</f>
        <v>308944.0003399963</v>
      </c>
      <c r="O12" s="8">
        <f t="shared" ref="O12:P12" si="19">SUMIF($F$35:$F$377,"Põhivara kulum*",O$35:O$377)</f>
        <v>0</v>
      </c>
      <c r="P12" s="8">
        <f t="shared" si="19"/>
        <v>-534431.9996100039</v>
      </c>
    </row>
    <row r="13" spans="1:21" x14ac:dyDescent="0.3">
      <c r="F13" s="7" t="s">
        <v>9</v>
      </c>
      <c r="G13" s="8">
        <f>+SUBTOTAL(9, G379:G387)</f>
        <v>-12347102.449909998</v>
      </c>
      <c r="H13" s="8">
        <f>+SUBTOTAL(9, H379:H387)</f>
        <v>0</v>
      </c>
      <c r="I13" s="8">
        <f>+SUBTOTAL(9, I379:I387)</f>
        <v>835359</v>
      </c>
      <c r="J13" s="8">
        <f>+SUBTOTAL(9, J379:J387)</f>
        <v>-11511743.449909998</v>
      </c>
      <c r="K13" s="8">
        <f>+SUBTOTAL(9, K379:K387)</f>
        <v>-5000000</v>
      </c>
      <c r="L13" s="8">
        <f t="shared" ref="L13" si="20">+SUBTOTAL(9, L379:L387)</f>
        <v>0</v>
      </c>
      <c r="M13" s="8">
        <f t="shared" ref="M13:N13" si="21">+SUBTOTAL(9, M379:M387)</f>
        <v>0</v>
      </c>
      <c r="N13" s="8">
        <f t="shared" si="21"/>
        <v>1608418.50012</v>
      </c>
      <c r="O13" s="8">
        <f>+SUBTOTAL(9, O379:O387)</f>
        <v>0</v>
      </c>
      <c r="P13" s="8">
        <f>+SUBTOTAL(9, P379:P387)</f>
        <v>-14903324.949789997</v>
      </c>
    </row>
    <row r="14" spans="1:21" x14ac:dyDescent="0.3">
      <c r="F14" s="9" t="s">
        <v>10</v>
      </c>
      <c r="G14" s="14">
        <f>SUM(G10:G13)</f>
        <v>-1071553536.4708524</v>
      </c>
      <c r="H14" s="14">
        <f>SUM(H10:H13)</f>
        <v>-32628987.449795999</v>
      </c>
      <c r="I14" s="14">
        <f t="shared" ref="I14" si="22">SUM(I10:I13)</f>
        <v>7449959</v>
      </c>
      <c r="J14" s="14">
        <f>SUM(J10:J13)</f>
        <v>-1096732564.9206481</v>
      </c>
      <c r="K14" s="14">
        <f t="shared" ref="K14:O14" si="23">SUM(K10:K13)</f>
        <v>-30000000</v>
      </c>
      <c r="L14" s="14">
        <f t="shared" ref="L14" si="24">SUM(L10:L13)</f>
        <v>-1814353</v>
      </c>
      <c r="M14" s="14">
        <f t="shared" ref="M14:N14" si="25">SUM(M10:M13)</f>
        <v>-61912921.054616317</v>
      </c>
      <c r="N14" s="14">
        <f t="shared" ca="1" si="25"/>
        <v>-139662616.40384716</v>
      </c>
      <c r="O14" s="14">
        <f t="shared" si="23"/>
        <v>-440000</v>
      </c>
      <c r="P14" s="14">
        <f ca="1">SUM(P10:P13)</f>
        <v>-1330562455.3791118</v>
      </c>
    </row>
    <row r="15" spans="1:21" s="23" customFormat="1" ht="67.95" customHeight="1" x14ac:dyDescent="0.3">
      <c r="A15" s="15" t="s">
        <v>11</v>
      </c>
      <c r="B15" s="15" t="s">
        <v>12</v>
      </c>
      <c r="C15" s="16" t="s">
        <v>13</v>
      </c>
      <c r="D15" s="15" t="s">
        <v>14</v>
      </c>
      <c r="E15" s="15" t="s">
        <v>15</v>
      </c>
      <c r="F15" s="15" t="s">
        <v>16</v>
      </c>
      <c r="G15" s="15" t="s">
        <v>17</v>
      </c>
      <c r="H15" s="49" t="s">
        <v>288</v>
      </c>
      <c r="I15" s="48" t="s">
        <v>257</v>
      </c>
      <c r="J15" s="15" t="s">
        <v>17</v>
      </c>
      <c r="K15" s="53" t="s">
        <v>342</v>
      </c>
      <c r="L15" s="53" t="s">
        <v>305</v>
      </c>
      <c r="M15" s="58" t="s">
        <v>340</v>
      </c>
      <c r="N15" s="53" t="s">
        <v>304</v>
      </c>
      <c r="O15" s="48" t="s">
        <v>257</v>
      </c>
      <c r="P15" s="15" t="s">
        <v>18</v>
      </c>
    </row>
    <row r="16" spans="1:21" s="23" customFormat="1" ht="26.4" x14ac:dyDescent="0.3">
      <c r="A16" s="62"/>
      <c r="B16" s="63"/>
      <c r="C16" s="64"/>
      <c r="D16" s="65"/>
      <c r="E16" s="17"/>
      <c r="F16" s="18" t="s">
        <v>19</v>
      </c>
      <c r="G16" s="19" t="s">
        <v>20</v>
      </c>
      <c r="H16" s="19" t="s">
        <v>255</v>
      </c>
      <c r="I16" s="19" t="s">
        <v>258</v>
      </c>
      <c r="J16" s="65"/>
      <c r="K16" s="54" t="s">
        <v>291</v>
      </c>
      <c r="L16" s="54" t="s">
        <v>291</v>
      </c>
      <c r="M16" s="19" t="s">
        <v>255</v>
      </c>
      <c r="N16" s="54" t="s">
        <v>303</v>
      </c>
      <c r="O16" s="55" t="s">
        <v>293</v>
      </c>
      <c r="P16" s="65"/>
    </row>
    <row r="17" spans="1:16" s="23" customFormat="1" ht="30.75" customHeight="1" x14ac:dyDescent="0.3">
      <c r="A17" s="65" t="s">
        <v>21</v>
      </c>
      <c r="B17" s="66" t="s">
        <v>21</v>
      </c>
      <c r="C17" s="67" t="s">
        <v>21</v>
      </c>
      <c r="D17" s="65"/>
      <c r="E17" s="17"/>
      <c r="F17" s="18" t="s">
        <v>22</v>
      </c>
      <c r="G17" s="47">
        <v>2023</v>
      </c>
      <c r="H17" s="47" t="s">
        <v>256</v>
      </c>
      <c r="I17" s="47" t="s">
        <v>256</v>
      </c>
      <c r="J17" s="68"/>
      <c r="K17" s="47" t="s">
        <v>292</v>
      </c>
      <c r="L17" s="47" t="s">
        <v>306</v>
      </c>
      <c r="M17" s="59" t="s">
        <v>302</v>
      </c>
      <c r="N17" s="77" t="s">
        <v>339</v>
      </c>
      <c r="O17" s="47" t="s">
        <v>343</v>
      </c>
      <c r="P17" s="65"/>
    </row>
    <row r="18" spans="1:16" s="23" customFormat="1" x14ac:dyDescent="0.3">
      <c r="A18" s="87" t="s">
        <v>23</v>
      </c>
      <c r="B18" s="87"/>
      <c r="C18" s="20"/>
      <c r="D18" s="21"/>
      <c r="E18" s="21"/>
      <c r="F18" s="21"/>
      <c r="G18" s="22">
        <f>+SUBTOTAL(9, G19:G26)</f>
        <v>616635021</v>
      </c>
      <c r="H18" s="22">
        <f t="shared" ref="H18:P18" si="26">+SUBTOTAL(9, H19:H26)</f>
        <v>0</v>
      </c>
      <c r="I18" s="22">
        <f t="shared" si="26"/>
        <v>0</v>
      </c>
      <c r="J18" s="22">
        <f t="shared" si="26"/>
        <v>616635021</v>
      </c>
      <c r="K18" s="22">
        <f t="shared" si="26"/>
        <v>0</v>
      </c>
      <c r="L18" s="22">
        <f t="shared" si="26"/>
        <v>0</v>
      </c>
      <c r="M18" s="22">
        <f t="shared" si="26"/>
        <v>0</v>
      </c>
      <c r="N18" s="22">
        <f>+SUBTOTAL(9, N19:N26)</f>
        <v>-203153466.79000002</v>
      </c>
      <c r="O18" s="22">
        <f t="shared" si="26"/>
        <v>0</v>
      </c>
      <c r="P18" s="22">
        <f t="shared" si="26"/>
        <v>413481554.20999998</v>
      </c>
    </row>
    <row r="19" spans="1:16" s="23" customFormat="1" x14ac:dyDescent="0.3">
      <c r="A19" s="24" t="s">
        <v>24</v>
      </c>
      <c r="B19" s="25" t="s">
        <v>25</v>
      </c>
      <c r="C19" s="24" t="s">
        <v>26</v>
      </c>
      <c r="D19" s="24"/>
      <c r="E19" s="24"/>
      <c r="F19" s="26" t="s">
        <v>27</v>
      </c>
      <c r="G19" s="38">
        <v>100</v>
      </c>
      <c r="H19" s="38"/>
      <c r="I19" s="38"/>
      <c r="J19" s="38">
        <f>+G19+H19+I19</f>
        <v>100</v>
      </c>
      <c r="K19" s="24"/>
      <c r="L19" s="24"/>
      <c r="M19" s="38"/>
      <c r="N19" s="24">
        <v>-50</v>
      </c>
      <c r="O19" s="24"/>
      <c r="P19" s="38">
        <f t="shared" ref="P19:P26" si="27">+J19+K19+L19+M19+N19+O19</f>
        <v>50</v>
      </c>
    </row>
    <row r="20" spans="1:16" s="23" customFormat="1" ht="14.4" customHeight="1" x14ac:dyDescent="0.3">
      <c r="A20" s="24"/>
      <c r="B20" s="25"/>
      <c r="C20" s="24" t="s">
        <v>26</v>
      </c>
      <c r="D20" s="24"/>
      <c r="E20" s="24"/>
      <c r="F20" s="26" t="s">
        <v>28</v>
      </c>
      <c r="G20" s="38">
        <v>1000</v>
      </c>
      <c r="H20" s="38"/>
      <c r="I20" s="38"/>
      <c r="J20" s="38">
        <f t="shared" ref="J20:J26" si="28">+G20+H20+I20</f>
        <v>1000</v>
      </c>
      <c r="K20" s="24"/>
      <c r="L20" s="24"/>
      <c r="M20" s="38"/>
      <c r="N20" s="38">
        <v>-500</v>
      </c>
      <c r="O20" s="24"/>
      <c r="P20" s="38">
        <f t="shared" si="27"/>
        <v>500</v>
      </c>
    </row>
    <row r="21" spans="1:16" s="23" customFormat="1" ht="14.4" customHeight="1" x14ac:dyDescent="0.3">
      <c r="A21" s="24"/>
      <c r="B21" s="25"/>
      <c r="C21" s="24" t="s">
        <v>26</v>
      </c>
      <c r="D21" s="24"/>
      <c r="E21" s="24"/>
      <c r="F21" s="26" t="s">
        <v>29</v>
      </c>
      <c r="G21" s="38">
        <v>33000</v>
      </c>
      <c r="H21" s="38"/>
      <c r="I21" s="38"/>
      <c r="J21" s="38">
        <f t="shared" si="28"/>
        <v>33000</v>
      </c>
      <c r="K21" s="24"/>
      <c r="L21" s="24"/>
      <c r="M21" s="38"/>
      <c r="N21" s="38">
        <v>-16500</v>
      </c>
      <c r="O21" s="24"/>
      <c r="P21" s="38">
        <f t="shared" si="27"/>
        <v>16500</v>
      </c>
    </row>
    <row r="22" spans="1:16" s="23" customFormat="1" ht="14.4" customHeight="1" x14ac:dyDescent="0.3">
      <c r="A22" s="24"/>
      <c r="B22" s="25"/>
      <c r="C22" s="24" t="s">
        <v>26</v>
      </c>
      <c r="D22" s="24"/>
      <c r="E22" s="24"/>
      <c r="F22" s="27" t="s">
        <v>30</v>
      </c>
      <c r="G22" s="38">
        <v>453000</v>
      </c>
      <c r="H22" s="38"/>
      <c r="I22" s="38"/>
      <c r="J22" s="38">
        <f t="shared" si="28"/>
        <v>453000</v>
      </c>
      <c r="K22" s="24"/>
      <c r="L22" s="24"/>
      <c r="M22" s="38"/>
      <c r="N22" s="38">
        <v>-226500</v>
      </c>
      <c r="O22" s="24"/>
      <c r="P22" s="38">
        <f t="shared" si="27"/>
        <v>226500</v>
      </c>
    </row>
    <row r="23" spans="1:16" s="23" customFormat="1" x14ac:dyDescent="0.3">
      <c r="A23" s="24"/>
      <c r="B23" s="25"/>
      <c r="C23" s="24" t="s">
        <v>26</v>
      </c>
      <c r="D23" s="24"/>
      <c r="E23" s="24"/>
      <c r="F23" s="26" t="s">
        <v>31</v>
      </c>
      <c r="G23" s="38">
        <v>25180572</v>
      </c>
      <c r="H23" s="38"/>
      <c r="I23" s="38"/>
      <c r="J23" s="38">
        <f t="shared" si="28"/>
        <v>25180572</v>
      </c>
      <c r="K23" s="24"/>
      <c r="L23" s="24"/>
      <c r="M23" s="38"/>
      <c r="N23" s="24"/>
      <c r="O23" s="24"/>
      <c r="P23" s="38">
        <f t="shared" si="27"/>
        <v>25180572</v>
      </c>
    </row>
    <row r="24" spans="1:16" s="23" customFormat="1" ht="14.4" customHeight="1" x14ac:dyDescent="0.3">
      <c r="A24" s="24"/>
      <c r="B24" s="25"/>
      <c r="C24" s="24" t="s">
        <v>32</v>
      </c>
      <c r="D24" s="24"/>
      <c r="E24" s="24"/>
      <c r="F24" s="27" t="s">
        <v>33</v>
      </c>
      <c r="G24" s="38">
        <v>122811776</v>
      </c>
      <c r="H24" s="38"/>
      <c r="I24" s="38"/>
      <c r="J24" s="38">
        <f t="shared" si="28"/>
        <v>122811776</v>
      </c>
      <c r="K24" s="24"/>
      <c r="L24" s="24"/>
      <c r="M24" s="38"/>
      <c r="N24" s="38">
        <f>-100030998.79+8005990</f>
        <v>-92025008.790000007</v>
      </c>
      <c r="O24" s="24"/>
      <c r="P24" s="38">
        <f t="shared" si="27"/>
        <v>30786767.209999993</v>
      </c>
    </row>
    <row r="25" spans="1:16" s="23" customFormat="1" ht="14.4" customHeight="1" x14ac:dyDescent="0.3">
      <c r="A25" s="24"/>
      <c r="B25" s="25"/>
      <c r="C25" s="24" t="s">
        <v>32</v>
      </c>
      <c r="D25" s="24"/>
      <c r="E25" s="24"/>
      <c r="F25" s="24" t="s">
        <v>34</v>
      </c>
      <c r="G25" s="38">
        <f>200000-100000</f>
        <v>100000</v>
      </c>
      <c r="H25" s="38"/>
      <c r="I25" s="38"/>
      <c r="J25" s="38">
        <f t="shared" si="28"/>
        <v>100000</v>
      </c>
      <c r="K25" s="24"/>
      <c r="L25" s="24"/>
      <c r="M25" s="38"/>
      <c r="N25" s="38">
        <v>-50000</v>
      </c>
      <c r="O25" s="24"/>
      <c r="P25" s="38">
        <f t="shared" si="27"/>
        <v>50000</v>
      </c>
    </row>
    <row r="26" spans="1:16" s="23" customFormat="1" x14ac:dyDescent="0.3">
      <c r="A26" s="24"/>
      <c r="B26" s="25"/>
      <c r="C26" s="24" t="s">
        <v>35</v>
      </c>
      <c r="D26" s="24"/>
      <c r="E26" s="24"/>
      <c r="F26" s="27" t="s">
        <v>36</v>
      </c>
      <c r="G26" s="38">
        <v>468055573</v>
      </c>
      <c r="H26" s="38"/>
      <c r="I26" s="38"/>
      <c r="J26" s="38">
        <f t="shared" si="28"/>
        <v>468055573</v>
      </c>
      <c r="K26" s="24"/>
      <c r="L26" s="24"/>
      <c r="M26" s="38"/>
      <c r="N26" s="38">
        <v>-110834908</v>
      </c>
      <c r="O26" s="24"/>
      <c r="P26" s="38">
        <f t="shared" si="27"/>
        <v>357220665</v>
      </c>
    </row>
    <row r="27" spans="1:16" s="23" customFormat="1" x14ac:dyDescent="0.3">
      <c r="A27" s="28" t="s">
        <v>37</v>
      </c>
      <c r="B27" s="29"/>
      <c r="C27" s="30"/>
      <c r="D27" s="30"/>
      <c r="E27" s="30"/>
      <c r="F27" s="30"/>
      <c r="G27" s="22">
        <f>+SUBTOTAL(9, G28:G31)</f>
        <v>-217575000</v>
      </c>
      <c r="H27" s="22">
        <f t="shared" ref="H27:P27" si="29">+SUBTOTAL(9, H28:H31)</f>
        <v>-70300000</v>
      </c>
      <c r="I27" s="22">
        <f t="shared" si="29"/>
        <v>0</v>
      </c>
      <c r="J27" s="22">
        <f t="shared" si="29"/>
        <v>-287875000</v>
      </c>
      <c r="K27" s="22">
        <f t="shared" si="29"/>
        <v>0</v>
      </c>
      <c r="L27" s="22">
        <f t="shared" si="29"/>
        <v>0</v>
      </c>
      <c r="M27" s="22">
        <f t="shared" si="29"/>
        <v>0</v>
      </c>
      <c r="N27" s="22">
        <f t="shared" si="29"/>
        <v>12575000</v>
      </c>
      <c r="O27" s="22">
        <f t="shared" si="29"/>
        <v>0</v>
      </c>
      <c r="P27" s="22">
        <f t="shared" si="29"/>
        <v>-275300000</v>
      </c>
    </row>
    <row r="28" spans="1:16" s="23" customFormat="1" ht="28.95" customHeight="1" x14ac:dyDescent="0.3">
      <c r="A28" s="24" t="s">
        <v>24</v>
      </c>
      <c r="B28" s="25" t="s">
        <v>25</v>
      </c>
      <c r="C28" s="24" t="s">
        <v>38</v>
      </c>
      <c r="D28" s="24"/>
      <c r="E28" s="24"/>
      <c r="F28" s="25" t="s">
        <v>285</v>
      </c>
      <c r="G28" s="38">
        <v>-3000000</v>
      </c>
      <c r="H28" s="38">
        <v>-1500000</v>
      </c>
      <c r="I28" s="38"/>
      <c r="J28" s="38">
        <f>+H28+I28+G28</f>
        <v>-4500000</v>
      </c>
      <c r="K28" s="24"/>
      <c r="L28" s="24"/>
      <c r="M28" s="38"/>
      <c r="N28" s="38">
        <v>-97000000</v>
      </c>
      <c r="O28" s="24"/>
      <c r="P28" s="38">
        <f>+J28+K28+L28+M28+N28+O28</f>
        <v>-101500000</v>
      </c>
    </row>
    <row r="29" spans="1:16" s="23" customFormat="1" ht="52.8" x14ac:dyDescent="0.3">
      <c r="A29" s="24"/>
      <c r="B29" s="25"/>
      <c r="C29" s="24" t="s">
        <v>38</v>
      </c>
      <c r="D29" s="24" t="s">
        <v>39</v>
      </c>
      <c r="E29" s="24" t="s">
        <v>40</v>
      </c>
      <c r="F29" s="25" t="s">
        <v>229</v>
      </c>
      <c r="G29" s="38">
        <v>-205800000</v>
      </c>
      <c r="H29" s="38">
        <v>-800000</v>
      </c>
      <c r="I29" s="38"/>
      <c r="J29" s="38">
        <f t="shared" ref="J29:J31" si="30">+H29+I29+G29</f>
        <v>-206600000</v>
      </c>
      <c r="K29" s="24"/>
      <c r="L29" s="24"/>
      <c r="M29" s="38"/>
      <c r="N29" s="38">
        <v>100800000</v>
      </c>
      <c r="O29" s="24"/>
      <c r="P29" s="38">
        <f>+J29+K29+L29+M29+N29+O29</f>
        <v>-105800000</v>
      </c>
    </row>
    <row r="30" spans="1:16" s="23" customFormat="1" ht="27" customHeight="1" x14ac:dyDescent="0.3">
      <c r="A30" s="24"/>
      <c r="B30" s="25"/>
      <c r="C30" s="24" t="s">
        <v>38</v>
      </c>
      <c r="D30" s="24" t="s">
        <v>259</v>
      </c>
      <c r="E30" s="24" t="s">
        <v>260</v>
      </c>
      <c r="F30" s="25" t="s">
        <v>286</v>
      </c>
      <c r="G30" s="38">
        <v>0</v>
      </c>
      <c r="H30" s="38">
        <v>-68000000</v>
      </c>
      <c r="I30" s="38">
        <v>0</v>
      </c>
      <c r="J30" s="38">
        <f>+H30+I30+G30</f>
        <v>-68000000</v>
      </c>
      <c r="K30" s="24"/>
      <c r="L30" s="24"/>
      <c r="M30" s="38"/>
      <c r="N30" s="24"/>
      <c r="O30" s="24"/>
      <c r="P30" s="38">
        <f>+J30+K30+L30+M30+N30+O30</f>
        <v>-68000000</v>
      </c>
    </row>
    <row r="31" spans="1:16" s="23" customFormat="1" ht="39.6" x14ac:dyDescent="0.3">
      <c r="A31" s="24"/>
      <c r="B31" s="25"/>
      <c r="C31" s="24" t="s">
        <v>32</v>
      </c>
      <c r="D31" s="24" t="s">
        <v>39</v>
      </c>
      <c r="E31" s="24" t="s">
        <v>40</v>
      </c>
      <c r="F31" s="25" t="s">
        <v>228</v>
      </c>
      <c r="G31" s="38">
        <v>-8775000</v>
      </c>
      <c r="H31" s="38"/>
      <c r="I31" s="38"/>
      <c r="J31" s="38">
        <f t="shared" si="30"/>
        <v>-8775000</v>
      </c>
      <c r="K31" s="24"/>
      <c r="L31" s="24"/>
      <c r="M31" s="38"/>
      <c r="N31" s="38">
        <v>8775000</v>
      </c>
      <c r="O31" s="24"/>
      <c r="P31" s="38">
        <f>+J31+K31+L31+M31+N31+O31</f>
        <v>0</v>
      </c>
    </row>
    <row r="32" spans="1:16" s="34" customFormat="1" ht="13.2" x14ac:dyDescent="0.3">
      <c r="A32" s="85" t="s">
        <v>41</v>
      </c>
      <c r="B32" s="85"/>
      <c r="C32" s="33"/>
      <c r="D32" s="33"/>
      <c r="E32" s="33"/>
      <c r="F32" s="33"/>
      <c r="G32" s="31">
        <f t="shared" ref="G32:P32" si="31">+SUBTOTAL(9, G33:G98)</f>
        <v>-255508500.35386533</v>
      </c>
      <c r="H32" s="31">
        <f t="shared" si="31"/>
        <v>-1499394.0991809999</v>
      </c>
      <c r="I32" s="31">
        <f t="shared" si="31"/>
        <v>0</v>
      </c>
      <c r="J32" s="31">
        <f t="shared" si="31"/>
        <v>-257007894.45304635</v>
      </c>
      <c r="K32" s="31">
        <f t="shared" si="31"/>
        <v>-25000000</v>
      </c>
      <c r="L32" s="31">
        <f t="shared" si="31"/>
        <v>-40000</v>
      </c>
      <c r="M32" s="31">
        <f t="shared" si="31"/>
        <v>-2936633.1865992686</v>
      </c>
      <c r="N32" s="31">
        <f t="shared" si="31"/>
        <v>45330349.866527446</v>
      </c>
      <c r="O32" s="31">
        <f t="shared" si="31"/>
        <v>0</v>
      </c>
      <c r="P32" s="31">
        <f t="shared" si="31"/>
        <v>-239654177.77311811</v>
      </c>
    </row>
    <row r="33" spans="1:16" s="34" customFormat="1" ht="13.2" x14ac:dyDescent="0.3">
      <c r="A33" s="50" t="s">
        <v>290</v>
      </c>
      <c r="B33" s="51"/>
      <c r="C33" s="52"/>
      <c r="D33" s="33"/>
      <c r="E33" s="33"/>
      <c r="F33" s="33"/>
      <c r="G33" s="31">
        <f t="shared" ref="G33:P33" si="32">+SUBTOTAL(9, G34:G98)</f>
        <v>-255508500.35386533</v>
      </c>
      <c r="H33" s="31">
        <f t="shared" si="32"/>
        <v>-1499394.0991809999</v>
      </c>
      <c r="I33" s="31">
        <f t="shared" si="32"/>
        <v>0</v>
      </c>
      <c r="J33" s="31">
        <f t="shared" si="32"/>
        <v>-257007894.45304635</v>
      </c>
      <c r="K33" s="31">
        <f t="shared" si="32"/>
        <v>-25000000</v>
      </c>
      <c r="L33" s="31">
        <f t="shared" si="32"/>
        <v>-40000</v>
      </c>
      <c r="M33" s="31">
        <f t="shared" si="32"/>
        <v>-2936633.1865992686</v>
      </c>
      <c r="N33" s="31">
        <f t="shared" si="32"/>
        <v>45330349.866527446</v>
      </c>
      <c r="O33" s="31">
        <f t="shared" si="32"/>
        <v>0</v>
      </c>
      <c r="P33" s="31">
        <f t="shared" si="32"/>
        <v>-239654177.77311811</v>
      </c>
    </row>
    <row r="34" spans="1:16" s="34" customFormat="1" ht="13.2" x14ac:dyDescent="0.3">
      <c r="A34" s="84" t="s">
        <v>42</v>
      </c>
      <c r="B34" s="84"/>
      <c r="C34" s="35"/>
      <c r="D34" s="33"/>
      <c r="E34" s="33"/>
      <c r="F34" s="33"/>
      <c r="G34" s="31">
        <f t="shared" ref="G34:P34" si="33">+SUBTOTAL(9, G35:G98)</f>
        <v>-255508500.35386533</v>
      </c>
      <c r="H34" s="31">
        <f t="shared" si="33"/>
        <v>-1499394.0991809999</v>
      </c>
      <c r="I34" s="31">
        <f t="shared" si="33"/>
        <v>0</v>
      </c>
      <c r="J34" s="31">
        <f t="shared" si="33"/>
        <v>-257007894.45304635</v>
      </c>
      <c r="K34" s="31">
        <f t="shared" si="33"/>
        <v>-25000000</v>
      </c>
      <c r="L34" s="31">
        <f t="shared" si="33"/>
        <v>-40000</v>
      </c>
      <c r="M34" s="31">
        <f t="shared" si="33"/>
        <v>-2936633.1865992686</v>
      </c>
      <c r="N34" s="31">
        <f t="shared" si="33"/>
        <v>45330349.866527446</v>
      </c>
      <c r="O34" s="31">
        <f t="shared" si="33"/>
        <v>0</v>
      </c>
      <c r="P34" s="31">
        <f t="shared" si="33"/>
        <v>-239654177.77311811</v>
      </c>
    </row>
    <row r="35" spans="1:16" s="34" customFormat="1" ht="26.4" x14ac:dyDescent="0.3">
      <c r="A35" s="24" t="s">
        <v>43</v>
      </c>
      <c r="B35" s="25" t="s">
        <v>44</v>
      </c>
      <c r="C35" s="24" t="s">
        <v>38</v>
      </c>
      <c r="D35" s="24" t="s">
        <v>21</v>
      </c>
      <c r="E35" s="24" t="s">
        <v>21</v>
      </c>
      <c r="F35" s="24" t="s">
        <v>7</v>
      </c>
      <c r="G35" s="38">
        <v>-80240410.832891122</v>
      </c>
      <c r="H35" s="38"/>
      <c r="I35" s="38"/>
      <c r="J35" s="38">
        <f>+G35+H35+I35</f>
        <v>-80240410.832891122</v>
      </c>
      <c r="K35" s="24"/>
      <c r="L35" s="38"/>
      <c r="M35" s="38">
        <v>-63863.135927797339</v>
      </c>
      <c r="N35" s="38">
        <v>191716.92317244591</v>
      </c>
      <c r="O35" s="24"/>
      <c r="P35" s="38">
        <f>+J35+K35+L35+M35+N35+O35</f>
        <v>-80112557.045646474</v>
      </c>
    </row>
    <row r="36" spans="1:16" s="34" customFormat="1" ht="13.2" x14ac:dyDescent="0.3">
      <c r="A36" s="24"/>
      <c r="B36" s="25"/>
      <c r="C36" s="24" t="s">
        <v>38</v>
      </c>
      <c r="D36" s="24" t="s">
        <v>45</v>
      </c>
      <c r="E36" s="24" t="s">
        <v>46</v>
      </c>
      <c r="F36" s="24" t="s">
        <v>7</v>
      </c>
      <c r="G36" s="38">
        <v>-20899.84</v>
      </c>
      <c r="H36" s="38">
        <v>-6830</v>
      </c>
      <c r="I36" s="38"/>
      <c r="J36" s="38">
        <f t="shared" ref="J36:J127" si="34">+G36+H36+I36</f>
        <v>-27729.84</v>
      </c>
      <c r="K36" s="24"/>
      <c r="L36" s="38"/>
      <c r="M36" s="38"/>
      <c r="N36" s="38">
        <v>16537.438006280001</v>
      </c>
      <c r="O36" s="24"/>
      <c r="P36" s="38">
        <f t="shared" ref="P36:P98" si="35">+J36+K36+L36+M36+N36+O36</f>
        <v>-11192.401993719999</v>
      </c>
    </row>
    <row r="37" spans="1:16" s="34" customFormat="1" ht="13.2" x14ac:dyDescent="0.3">
      <c r="A37" s="24"/>
      <c r="B37" s="25"/>
      <c r="C37" s="24" t="s">
        <v>38</v>
      </c>
      <c r="D37" s="24" t="s">
        <v>47</v>
      </c>
      <c r="E37" s="24" t="s">
        <v>48</v>
      </c>
      <c r="F37" s="24" t="s">
        <v>7</v>
      </c>
      <c r="G37" s="38">
        <v>-8705.9342388514815</v>
      </c>
      <c r="H37" s="38"/>
      <c r="I37" s="38"/>
      <c r="J37" s="38">
        <f t="shared" si="34"/>
        <v>-8705.9342388514815</v>
      </c>
      <c r="K37" s="24"/>
      <c r="L37" s="38"/>
      <c r="M37" s="38">
        <v>-324</v>
      </c>
      <c r="N37" s="38">
        <v>2798.4208579988708</v>
      </c>
      <c r="O37" s="24"/>
      <c r="P37" s="38">
        <f t="shared" si="35"/>
        <v>-6231.5133808526107</v>
      </c>
    </row>
    <row r="38" spans="1:16" s="34" customFormat="1" ht="13.2" x14ac:dyDescent="0.3">
      <c r="A38" s="24"/>
      <c r="B38" s="25"/>
      <c r="C38" s="24" t="s">
        <v>38</v>
      </c>
      <c r="D38" s="24" t="s">
        <v>261</v>
      </c>
      <c r="E38" s="24" t="s">
        <v>262</v>
      </c>
      <c r="F38" s="24" t="s">
        <v>7</v>
      </c>
      <c r="G38" s="38">
        <v>0</v>
      </c>
      <c r="H38" s="38">
        <v>-3657.3420325000006</v>
      </c>
      <c r="I38" s="38"/>
      <c r="J38" s="38">
        <f t="shared" si="34"/>
        <v>-3657.3420325000006</v>
      </c>
      <c r="K38" s="24"/>
      <c r="L38" s="38"/>
      <c r="M38" s="38">
        <v>-1425</v>
      </c>
      <c r="N38" s="38"/>
      <c r="O38" s="24"/>
      <c r="P38" s="38">
        <f t="shared" si="35"/>
        <v>-5082.3420325000006</v>
      </c>
    </row>
    <row r="39" spans="1:16" s="34" customFormat="1" ht="13.2" x14ac:dyDescent="0.3">
      <c r="A39" s="24"/>
      <c r="B39" s="25"/>
      <c r="C39" s="24" t="s">
        <v>38</v>
      </c>
      <c r="D39" s="24" t="s">
        <v>313</v>
      </c>
      <c r="E39" s="24" t="s">
        <v>314</v>
      </c>
      <c r="F39" s="24" t="s">
        <v>7</v>
      </c>
      <c r="G39" s="38"/>
      <c r="H39" s="38"/>
      <c r="I39" s="38"/>
      <c r="J39" s="38">
        <f t="shared" si="34"/>
        <v>0</v>
      </c>
      <c r="K39" s="24"/>
      <c r="L39" s="38">
        <f>-2500*2</f>
        <v>-5000</v>
      </c>
      <c r="M39" s="38"/>
      <c r="N39" s="38"/>
      <c r="O39" s="24"/>
      <c r="P39" s="38">
        <f t="shared" si="35"/>
        <v>-5000</v>
      </c>
    </row>
    <row r="40" spans="1:16" s="34" customFormat="1" ht="13.2" x14ac:dyDescent="0.3">
      <c r="A40" s="24"/>
      <c r="B40" s="25"/>
      <c r="C40" s="24" t="s">
        <v>38</v>
      </c>
      <c r="D40" s="24" t="s">
        <v>296</v>
      </c>
      <c r="E40" s="24" t="s">
        <v>297</v>
      </c>
      <c r="F40" s="24" t="s">
        <v>7</v>
      </c>
      <c r="G40" s="38"/>
      <c r="H40" s="38"/>
      <c r="I40" s="38"/>
      <c r="J40" s="38">
        <f t="shared" si="34"/>
        <v>0</v>
      </c>
      <c r="K40" s="38">
        <v>-19250000</v>
      </c>
      <c r="L40" s="38"/>
      <c r="M40" s="38"/>
      <c r="N40" s="38"/>
      <c r="O40" s="24"/>
      <c r="P40" s="38">
        <f t="shared" si="35"/>
        <v>-19250000</v>
      </c>
    </row>
    <row r="41" spans="1:16" s="34" customFormat="1" ht="13.2" x14ac:dyDescent="0.3">
      <c r="A41" s="24"/>
      <c r="B41" s="25"/>
      <c r="C41" s="24" t="s">
        <v>38</v>
      </c>
      <c r="D41" s="24" t="s">
        <v>307</v>
      </c>
      <c r="E41" s="24" t="s">
        <v>308</v>
      </c>
      <c r="F41" s="24" t="s">
        <v>7</v>
      </c>
      <c r="G41" s="38"/>
      <c r="H41" s="38"/>
      <c r="I41" s="38"/>
      <c r="J41" s="38">
        <f t="shared" si="34"/>
        <v>0</v>
      </c>
      <c r="K41" s="38"/>
      <c r="L41" s="38"/>
      <c r="M41" s="38">
        <v>-80000</v>
      </c>
      <c r="N41" s="38"/>
      <c r="O41" s="24"/>
      <c r="P41" s="38">
        <f t="shared" si="35"/>
        <v>-80000</v>
      </c>
    </row>
    <row r="42" spans="1:16" s="34" customFormat="1" ht="13.2" x14ac:dyDescent="0.3">
      <c r="A42" s="24"/>
      <c r="B42" s="25"/>
      <c r="C42" s="24" t="s">
        <v>32</v>
      </c>
      <c r="D42" s="24" t="s">
        <v>21</v>
      </c>
      <c r="E42" s="24" t="s">
        <v>21</v>
      </c>
      <c r="F42" s="24" t="s">
        <v>7</v>
      </c>
      <c r="G42" s="38">
        <v>-26306.206182758619</v>
      </c>
      <c r="H42" s="38"/>
      <c r="I42" s="38"/>
      <c r="J42" s="38">
        <f t="shared" si="34"/>
        <v>-26306.206182758619</v>
      </c>
      <c r="K42" s="24"/>
      <c r="L42" s="38"/>
      <c r="M42" s="38"/>
      <c r="N42" s="38">
        <v>13764.743148447096</v>
      </c>
      <c r="O42" s="24"/>
      <c r="P42" s="38">
        <f t="shared" si="35"/>
        <v>-12541.463034311522</v>
      </c>
    </row>
    <row r="43" spans="1:16" s="34" customFormat="1" ht="13.2" x14ac:dyDescent="0.3">
      <c r="A43" s="24"/>
      <c r="B43" s="25"/>
      <c r="C43" s="36">
        <v>43</v>
      </c>
      <c r="D43" s="24" t="s">
        <v>49</v>
      </c>
      <c r="E43" s="24" t="s">
        <v>50</v>
      </c>
      <c r="F43" s="24" t="s">
        <v>230</v>
      </c>
      <c r="G43" s="38">
        <v>-80000000</v>
      </c>
      <c r="H43" s="38"/>
      <c r="I43" s="38"/>
      <c r="J43" s="38">
        <f t="shared" si="34"/>
        <v>-80000000</v>
      </c>
      <c r="K43" s="24"/>
      <c r="L43" s="38"/>
      <c r="M43" s="38"/>
      <c r="N43" s="38"/>
      <c r="O43" s="24"/>
      <c r="P43" s="38">
        <f t="shared" si="35"/>
        <v>-80000000</v>
      </c>
    </row>
    <row r="44" spans="1:16" s="34" customFormat="1" ht="13.2" x14ac:dyDescent="0.3">
      <c r="A44" s="24"/>
      <c r="B44" s="25"/>
      <c r="C44" s="24" t="s">
        <v>51</v>
      </c>
      <c r="D44" s="24" t="s">
        <v>21</v>
      </c>
      <c r="E44" s="24" t="s">
        <v>21</v>
      </c>
      <c r="F44" s="24" t="s">
        <v>8</v>
      </c>
      <c r="G44" s="38">
        <v>-1390.2472116675503</v>
      </c>
      <c r="H44" s="38"/>
      <c r="I44" s="38"/>
      <c r="J44" s="38">
        <f t="shared" si="34"/>
        <v>-1390.2472116675503</v>
      </c>
      <c r="K44" s="24"/>
      <c r="L44" s="38"/>
      <c r="M44" s="38"/>
      <c r="N44" s="38">
        <v>666.13958757674732</v>
      </c>
      <c r="O44" s="24"/>
      <c r="P44" s="38">
        <f t="shared" si="35"/>
        <v>-724.10762409080303</v>
      </c>
    </row>
    <row r="45" spans="1:16" s="34" customFormat="1" ht="26.4" x14ac:dyDescent="0.3">
      <c r="A45" s="24" t="s">
        <v>52</v>
      </c>
      <c r="B45" s="25" t="s">
        <v>53</v>
      </c>
      <c r="C45" s="24" t="s">
        <v>38</v>
      </c>
      <c r="D45" s="24" t="s">
        <v>21</v>
      </c>
      <c r="E45" s="24" t="s">
        <v>21</v>
      </c>
      <c r="F45" s="24" t="s">
        <v>7</v>
      </c>
      <c r="G45" s="38">
        <v>-6252830.1973657338</v>
      </c>
      <c r="H45" s="38"/>
      <c r="I45" s="38"/>
      <c r="J45" s="38">
        <f t="shared" si="34"/>
        <v>-6252830.1973657338</v>
      </c>
      <c r="K45" s="24"/>
      <c r="L45" s="38"/>
      <c r="M45" s="38">
        <v>-3528034.3838259578</v>
      </c>
      <c r="N45" s="38">
        <v>66560.905834455712</v>
      </c>
      <c r="O45" s="24"/>
      <c r="P45" s="38">
        <f t="shared" si="35"/>
        <v>-9714303.6753572375</v>
      </c>
    </row>
    <row r="46" spans="1:16" s="34" customFormat="1" ht="13.2" x14ac:dyDescent="0.3">
      <c r="A46" s="24"/>
      <c r="B46" s="25"/>
      <c r="C46" s="24" t="s">
        <v>38</v>
      </c>
      <c r="D46" s="24" t="s">
        <v>45</v>
      </c>
      <c r="E46" s="24" t="s">
        <v>46</v>
      </c>
      <c r="F46" s="24" t="s">
        <v>7</v>
      </c>
      <c r="G46" s="38">
        <v>-10449.92</v>
      </c>
      <c r="H46" s="38">
        <v>-3416</v>
      </c>
      <c r="I46" s="38"/>
      <c r="J46" s="38">
        <f t="shared" si="34"/>
        <v>-13865.92</v>
      </c>
      <c r="K46" s="24"/>
      <c r="L46" s="38"/>
      <c r="M46" s="38">
        <v>1</v>
      </c>
      <c r="N46" s="38">
        <v>8268.7190031400005</v>
      </c>
      <c r="O46" s="24"/>
      <c r="P46" s="38">
        <f t="shared" si="35"/>
        <v>-5596.2009968599996</v>
      </c>
    </row>
    <row r="47" spans="1:16" s="34" customFormat="1" ht="13.2" x14ac:dyDescent="0.3">
      <c r="A47" s="24"/>
      <c r="B47" s="25"/>
      <c r="C47" s="24" t="s">
        <v>38</v>
      </c>
      <c r="D47" s="24" t="s">
        <v>47</v>
      </c>
      <c r="E47" s="24" t="s">
        <v>48</v>
      </c>
      <c r="F47" s="24" t="s">
        <v>7</v>
      </c>
      <c r="G47" s="38">
        <v>-3713.0944405924829</v>
      </c>
      <c r="H47" s="38"/>
      <c r="I47" s="38"/>
      <c r="J47" s="38">
        <f t="shared" si="34"/>
        <v>-3713.0944405924829</v>
      </c>
      <c r="K47" s="24"/>
      <c r="L47" s="38"/>
      <c r="M47" s="38">
        <v>-274</v>
      </c>
      <c r="N47" s="38">
        <v>891.48707851593554</v>
      </c>
      <c r="O47" s="24"/>
      <c r="P47" s="38">
        <f t="shared" si="35"/>
        <v>-3095.6073620765474</v>
      </c>
    </row>
    <row r="48" spans="1:16" s="34" customFormat="1" ht="13.2" x14ac:dyDescent="0.3">
      <c r="A48" s="24"/>
      <c r="B48" s="25"/>
      <c r="C48" s="24" t="s">
        <v>38</v>
      </c>
      <c r="D48" s="24" t="s">
        <v>259</v>
      </c>
      <c r="E48" s="24" t="s">
        <v>260</v>
      </c>
      <c r="F48" s="24" t="s">
        <v>7</v>
      </c>
      <c r="G48" s="38">
        <v>0</v>
      </c>
      <c r="H48" s="38">
        <v>-450000</v>
      </c>
      <c r="I48" s="38"/>
      <c r="J48" s="38">
        <f t="shared" si="34"/>
        <v>-450000</v>
      </c>
      <c r="K48" s="24"/>
      <c r="L48" s="38"/>
      <c r="M48" s="38"/>
      <c r="N48" s="38"/>
      <c r="O48" s="24"/>
      <c r="P48" s="38">
        <f t="shared" si="35"/>
        <v>-450000</v>
      </c>
    </row>
    <row r="49" spans="1:16" s="34" customFormat="1" ht="13.2" x14ac:dyDescent="0.3">
      <c r="A49" s="24"/>
      <c r="B49" s="25"/>
      <c r="C49" s="24" t="s">
        <v>38</v>
      </c>
      <c r="D49" s="24" t="s">
        <v>261</v>
      </c>
      <c r="E49" s="24" t="s">
        <v>262</v>
      </c>
      <c r="F49" s="24" t="s">
        <v>7</v>
      </c>
      <c r="G49" s="38">
        <v>0</v>
      </c>
      <c r="H49" s="38">
        <v>-3062.4748674999996</v>
      </c>
      <c r="I49" s="38"/>
      <c r="J49" s="38">
        <f t="shared" si="34"/>
        <v>-3062.4748674999996</v>
      </c>
      <c r="K49" s="24"/>
      <c r="L49" s="38"/>
      <c r="M49" s="38">
        <v>-1086</v>
      </c>
      <c r="N49" s="38"/>
      <c r="O49" s="24"/>
      <c r="P49" s="38">
        <f t="shared" si="35"/>
        <v>-4148.4748674999992</v>
      </c>
    </row>
    <row r="50" spans="1:16" s="34" customFormat="1" ht="13.2" x14ac:dyDescent="0.3">
      <c r="A50" s="24"/>
      <c r="B50" s="25"/>
      <c r="C50" s="24" t="s">
        <v>38</v>
      </c>
      <c r="D50" s="24" t="s">
        <v>313</v>
      </c>
      <c r="E50" s="24" t="s">
        <v>314</v>
      </c>
      <c r="F50" s="24" t="s">
        <v>7</v>
      </c>
      <c r="G50" s="38"/>
      <c r="H50" s="38"/>
      <c r="I50" s="38"/>
      <c r="J50" s="38">
        <f t="shared" ref="J50" si="36">+G50+H50+I50</f>
        <v>0</v>
      </c>
      <c r="K50" s="24"/>
      <c r="L50" s="38">
        <f>-2500*2</f>
        <v>-5000</v>
      </c>
      <c r="M50" s="38"/>
      <c r="N50" s="38"/>
      <c r="O50" s="24"/>
      <c r="P50" s="38">
        <f t="shared" si="35"/>
        <v>-5000</v>
      </c>
    </row>
    <row r="51" spans="1:16" s="34" customFormat="1" ht="13.2" x14ac:dyDescent="0.3">
      <c r="A51" s="24"/>
      <c r="B51" s="25"/>
      <c r="C51" s="24" t="s">
        <v>32</v>
      </c>
      <c r="D51" s="24" t="s">
        <v>21</v>
      </c>
      <c r="E51" s="24" t="s">
        <v>21</v>
      </c>
      <c r="F51" s="24" t="s">
        <v>7</v>
      </c>
      <c r="G51" s="38">
        <v>-23156.214882758621</v>
      </c>
      <c r="H51" s="38"/>
      <c r="I51" s="38"/>
      <c r="J51" s="38">
        <f t="shared" si="34"/>
        <v>-23156.214882758621</v>
      </c>
      <c r="K51" s="24"/>
      <c r="L51" s="38"/>
      <c r="M51" s="38"/>
      <c r="N51" s="38">
        <v>6444.9732972895481</v>
      </c>
      <c r="O51" s="24"/>
      <c r="P51" s="38">
        <f t="shared" si="35"/>
        <v>-16711.241585469073</v>
      </c>
    </row>
    <row r="52" spans="1:16" s="34" customFormat="1" ht="13.2" x14ac:dyDescent="0.3">
      <c r="A52" s="24"/>
      <c r="B52" s="25"/>
      <c r="C52" s="24" t="s">
        <v>51</v>
      </c>
      <c r="D52" s="24" t="s">
        <v>21</v>
      </c>
      <c r="E52" s="24" t="s">
        <v>21</v>
      </c>
      <c r="F52" s="24" t="s">
        <v>8</v>
      </c>
      <c r="G52" s="38">
        <v>-843.98794465216622</v>
      </c>
      <c r="H52" s="38"/>
      <c r="I52" s="38"/>
      <c r="J52" s="38">
        <f t="shared" si="34"/>
        <v>-843.98794465216622</v>
      </c>
      <c r="K52" s="24"/>
      <c r="L52" s="38"/>
      <c r="M52" s="38"/>
      <c r="N52" s="38">
        <v>404.39842400114276</v>
      </c>
      <c r="O52" s="24"/>
      <c r="P52" s="38">
        <f t="shared" si="35"/>
        <v>-439.58952065102346</v>
      </c>
    </row>
    <row r="53" spans="1:16" s="34" customFormat="1" ht="26.4" x14ac:dyDescent="0.3">
      <c r="A53" s="24" t="s">
        <v>54</v>
      </c>
      <c r="B53" s="25" t="s">
        <v>55</v>
      </c>
      <c r="C53" s="24" t="s">
        <v>38</v>
      </c>
      <c r="D53" s="24" t="s">
        <v>21</v>
      </c>
      <c r="E53" s="24" t="s">
        <v>21</v>
      </c>
      <c r="F53" s="24" t="s">
        <v>7</v>
      </c>
      <c r="G53" s="38">
        <v>-20619102.556426942</v>
      </c>
      <c r="H53" s="38"/>
      <c r="I53" s="38"/>
      <c r="J53" s="38">
        <f t="shared" si="34"/>
        <v>-20619102.556426942</v>
      </c>
      <c r="K53" s="24"/>
      <c r="L53" s="38"/>
      <c r="M53" s="38">
        <v>-65510.216627156668</v>
      </c>
      <c r="N53" s="38">
        <v>74435.099767426815</v>
      </c>
      <c r="O53" s="24"/>
      <c r="P53" s="38">
        <f t="shared" si="35"/>
        <v>-20610177.673286673</v>
      </c>
    </row>
    <row r="54" spans="1:16" s="34" customFormat="1" ht="13.2" x14ac:dyDescent="0.3">
      <c r="A54" s="24"/>
      <c r="B54" s="25"/>
      <c r="C54" s="24" t="s">
        <v>38</v>
      </c>
      <c r="D54" s="24" t="s">
        <v>45</v>
      </c>
      <c r="E54" s="24" t="s">
        <v>46</v>
      </c>
      <c r="F54" s="24" t="s">
        <v>7</v>
      </c>
      <c r="G54" s="38">
        <v>-2662.4</v>
      </c>
      <c r="H54" s="38">
        <v>-870</v>
      </c>
      <c r="I54" s="38"/>
      <c r="J54" s="38">
        <f t="shared" si="34"/>
        <v>-3532.4</v>
      </c>
      <c r="K54" s="24"/>
      <c r="L54" s="38"/>
      <c r="M54" s="38"/>
      <c r="N54" s="38">
        <v>2106.6800008</v>
      </c>
      <c r="O54" s="24"/>
      <c r="P54" s="38">
        <f t="shared" si="35"/>
        <v>-1425.7199992000001</v>
      </c>
    </row>
    <row r="55" spans="1:16" s="34" customFormat="1" ht="13.2" x14ac:dyDescent="0.3">
      <c r="A55" s="24"/>
      <c r="B55" s="25"/>
      <c r="C55" s="24" t="s">
        <v>38</v>
      </c>
      <c r="D55" s="24" t="s">
        <v>47</v>
      </c>
      <c r="E55" s="24" t="s">
        <v>48</v>
      </c>
      <c r="F55" s="24" t="s">
        <v>7</v>
      </c>
      <c r="G55" s="38">
        <v>-3950.0412195662407</v>
      </c>
      <c r="H55" s="38"/>
      <c r="I55" s="38"/>
      <c r="J55" s="38">
        <f t="shared" si="34"/>
        <v>-3950.0412195662407</v>
      </c>
      <c r="K55" s="24"/>
      <c r="L55" s="38"/>
      <c r="M55" s="38">
        <v>-155</v>
      </c>
      <c r="N55" s="38">
        <v>1251.6713788589357</v>
      </c>
      <c r="O55" s="24"/>
      <c r="P55" s="38">
        <f t="shared" si="35"/>
        <v>-2853.3698407073052</v>
      </c>
    </row>
    <row r="56" spans="1:16" s="34" customFormat="1" ht="13.2" x14ac:dyDescent="0.3">
      <c r="A56" s="24"/>
      <c r="B56" s="25"/>
      <c r="C56" s="24" t="s">
        <v>38</v>
      </c>
      <c r="D56" s="24" t="s">
        <v>261</v>
      </c>
      <c r="E56" s="24" t="s">
        <v>262</v>
      </c>
      <c r="F56" s="24" t="s">
        <v>7</v>
      </c>
      <c r="G56" s="38">
        <v>0</v>
      </c>
      <c r="H56" s="38">
        <v>-1742.9339337499998</v>
      </c>
      <c r="I56" s="38"/>
      <c r="J56" s="38">
        <f t="shared" si="34"/>
        <v>-1742.9339337499998</v>
      </c>
      <c r="K56" s="24"/>
      <c r="L56" s="38"/>
      <c r="M56" s="38">
        <v>-667</v>
      </c>
      <c r="N56" s="38"/>
      <c r="O56" s="24"/>
      <c r="P56" s="38">
        <f t="shared" si="35"/>
        <v>-2409.9339337499996</v>
      </c>
    </row>
    <row r="57" spans="1:16" s="34" customFormat="1" ht="13.2" x14ac:dyDescent="0.3">
      <c r="A57" s="24"/>
      <c r="B57" s="25"/>
      <c r="C57" s="24" t="s">
        <v>38</v>
      </c>
      <c r="D57" s="24" t="s">
        <v>313</v>
      </c>
      <c r="E57" s="24" t="s">
        <v>314</v>
      </c>
      <c r="F57" s="24" t="s">
        <v>7</v>
      </c>
      <c r="G57" s="38"/>
      <c r="H57" s="38"/>
      <c r="I57" s="38"/>
      <c r="J57" s="38">
        <f t="shared" si="34"/>
        <v>0</v>
      </c>
      <c r="K57" s="24"/>
      <c r="L57" s="38">
        <f>-2500</f>
        <v>-2500</v>
      </c>
      <c r="M57" s="38"/>
      <c r="N57" s="38"/>
      <c r="O57" s="24"/>
      <c r="P57" s="38">
        <f t="shared" si="35"/>
        <v>-2500</v>
      </c>
    </row>
    <row r="58" spans="1:16" s="34" customFormat="1" ht="13.2" x14ac:dyDescent="0.3">
      <c r="A58" s="24"/>
      <c r="B58" s="25"/>
      <c r="C58" s="24" t="s">
        <v>38</v>
      </c>
      <c r="D58" s="24" t="s">
        <v>296</v>
      </c>
      <c r="E58" s="24" t="s">
        <v>297</v>
      </c>
      <c r="F58" s="24" t="s">
        <v>7</v>
      </c>
      <c r="G58" s="38"/>
      <c r="H58" s="38"/>
      <c r="I58" s="38"/>
      <c r="J58" s="38">
        <v>0</v>
      </c>
      <c r="K58" s="38">
        <v>-5750000</v>
      </c>
      <c r="L58" s="38"/>
      <c r="M58" s="38"/>
      <c r="N58" s="38"/>
      <c r="O58" s="24"/>
      <c r="P58" s="38">
        <f t="shared" si="35"/>
        <v>-5750000</v>
      </c>
    </row>
    <row r="59" spans="1:16" s="34" customFormat="1" ht="13.2" x14ac:dyDescent="0.3">
      <c r="A59" s="24"/>
      <c r="B59" s="25"/>
      <c r="C59" s="24" t="s">
        <v>38</v>
      </c>
      <c r="D59" s="24" t="s">
        <v>309</v>
      </c>
      <c r="E59" s="24" t="s">
        <v>310</v>
      </c>
      <c r="F59" s="24" t="s">
        <v>7</v>
      </c>
      <c r="G59" s="38"/>
      <c r="H59" s="38"/>
      <c r="I59" s="38"/>
      <c r="J59" s="38"/>
      <c r="K59" s="38"/>
      <c r="L59" s="38"/>
      <c r="M59" s="38">
        <v>-60000</v>
      </c>
      <c r="N59" s="38"/>
      <c r="O59" s="24"/>
      <c r="P59" s="38">
        <f t="shared" si="35"/>
        <v>-60000</v>
      </c>
    </row>
    <row r="60" spans="1:16" s="34" customFormat="1" ht="13.2" x14ac:dyDescent="0.3">
      <c r="A60" s="24"/>
      <c r="B60" s="25"/>
      <c r="C60" s="24" t="s">
        <v>32</v>
      </c>
      <c r="D60" s="24" t="s">
        <v>21</v>
      </c>
      <c r="E60" s="24" t="s">
        <v>21</v>
      </c>
      <c r="F60" s="24" t="s">
        <v>7</v>
      </c>
      <c r="G60" s="38">
        <v>-12898.896441379309</v>
      </c>
      <c r="H60" s="38"/>
      <c r="I60" s="38"/>
      <c r="J60" s="38">
        <f t="shared" si="34"/>
        <v>-12898.896441379309</v>
      </c>
      <c r="K60" s="24"/>
      <c r="L60" s="38"/>
      <c r="M60" s="38"/>
      <c r="N60" s="38">
        <v>6755.2682486615477</v>
      </c>
      <c r="O60" s="24"/>
      <c r="P60" s="38">
        <f t="shared" si="35"/>
        <v>-6143.6281927177615</v>
      </c>
    </row>
    <row r="61" spans="1:16" s="34" customFormat="1" ht="13.2" x14ac:dyDescent="0.3">
      <c r="A61" s="24"/>
      <c r="B61" s="25"/>
      <c r="C61" s="36">
        <v>43</v>
      </c>
      <c r="D61" s="24" t="s">
        <v>49</v>
      </c>
      <c r="E61" s="24" t="s">
        <v>50</v>
      </c>
      <c r="F61" s="24" t="s">
        <v>230</v>
      </c>
      <c r="G61" s="38">
        <v>-20000000</v>
      </c>
      <c r="H61" s="38"/>
      <c r="I61" s="38"/>
      <c r="J61" s="38">
        <f t="shared" si="34"/>
        <v>-20000000</v>
      </c>
      <c r="K61" s="24"/>
      <c r="L61" s="38"/>
      <c r="M61" s="38"/>
      <c r="N61" s="38"/>
      <c r="O61" s="24"/>
      <c r="P61" s="38">
        <f t="shared" si="35"/>
        <v>-20000000</v>
      </c>
    </row>
    <row r="62" spans="1:16" s="34" customFormat="1" ht="13.2" x14ac:dyDescent="0.3">
      <c r="A62" s="24"/>
      <c r="B62" s="25"/>
      <c r="C62" s="24" t="s">
        <v>51</v>
      </c>
      <c r="D62" s="24" t="s">
        <v>21</v>
      </c>
      <c r="E62" s="24" t="s">
        <v>21</v>
      </c>
      <c r="F62" s="24" t="s">
        <v>8</v>
      </c>
      <c r="G62" s="38">
        <v>-651.04007509531391</v>
      </c>
      <c r="H62" s="38"/>
      <c r="I62" s="38"/>
      <c r="J62" s="38">
        <f t="shared" si="34"/>
        <v>-651.04007509531391</v>
      </c>
      <c r="K62" s="24"/>
      <c r="L62" s="38"/>
      <c r="M62" s="38"/>
      <c r="N62" s="38">
        <v>311.94708644640212</v>
      </c>
      <c r="O62" s="24"/>
      <c r="P62" s="38">
        <f t="shared" si="35"/>
        <v>-339.09298864891178</v>
      </c>
    </row>
    <row r="63" spans="1:16" s="34" customFormat="1" ht="26.4" x14ac:dyDescent="0.3">
      <c r="A63" s="24" t="s">
        <v>56</v>
      </c>
      <c r="B63" s="25" t="s">
        <v>57</v>
      </c>
      <c r="C63" s="24" t="s">
        <v>38</v>
      </c>
      <c r="D63" s="24" t="s">
        <v>21</v>
      </c>
      <c r="E63" s="24" t="s">
        <v>21</v>
      </c>
      <c r="F63" s="24" t="s">
        <v>7</v>
      </c>
      <c r="G63" s="38">
        <v>-479785.96510785882</v>
      </c>
      <c r="H63" s="38"/>
      <c r="I63" s="38"/>
      <c r="J63" s="38">
        <f t="shared" si="34"/>
        <v>-479785.96510785882</v>
      </c>
      <c r="K63" s="24"/>
      <c r="L63" s="38"/>
      <c r="M63" s="38">
        <v>-35944.76078783362</v>
      </c>
      <c r="N63" s="38">
        <f>623351.902067691+40000</f>
        <v>663351.90206769097</v>
      </c>
      <c r="O63" s="24"/>
      <c r="P63" s="38">
        <f t="shared" si="35"/>
        <v>147621.17617199855</v>
      </c>
    </row>
    <row r="64" spans="1:16" s="34" customFormat="1" ht="13.2" x14ac:dyDescent="0.3">
      <c r="A64" s="24"/>
      <c r="B64" s="25"/>
      <c r="C64" s="24" t="s">
        <v>38</v>
      </c>
      <c r="D64" s="24" t="s">
        <v>58</v>
      </c>
      <c r="E64" s="24" t="s">
        <v>59</v>
      </c>
      <c r="F64" s="24" t="s">
        <v>62</v>
      </c>
      <c r="G64" s="38">
        <v>-357999.99900000001</v>
      </c>
      <c r="H64" s="38"/>
      <c r="I64" s="38"/>
      <c r="J64" s="38">
        <f t="shared" si="34"/>
        <v>-357999.99900000001</v>
      </c>
      <c r="K64" s="24"/>
      <c r="L64" s="38"/>
      <c r="M64" s="38"/>
      <c r="N64" s="38">
        <v>358000.00001000002</v>
      </c>
      <c r="O64" s="24"/>
      <c r="P64" s="38">
        <f t="shared" si="35"/>
        <v>1.0100000072270632E-3</v>
      </c>
    </row>
    <row r="65" spans="1:16" s="34" customFormat="1" ht="13.2" x14ac:dyDescent="0.3">
      <c r="A65" s="24"/>
      <c r="B65" s="25"/>
      <c r="C65" s="24" t="s">
        <v>38</v>
      </c>
      <c r="D65" s="24" t="s">
        <v>263</v>
      </c>
      <c r="E65" s="24" t="s">
        <v>264</v>
      </c>
      <c r="F65" s="24" t="s">
        <v>7</v>
      </c>
      <c r="G65" s="38">
        <v>0</v>
      </c>
      <c r="H65" s="38">
        <v>-1000000</v>
      </c>
      <c r="I65" s="38"/>
      <c r="J65" s="38">
        <f t="shared" si="34"/>
        <v>-1000000</v>
      </c>
      <c r="K65" s="24"/>
      <c r="L65" s="38"/>
      <c r="M65" s="38">
        <v>1000000</v>
      </c>
      <c r="N65" s="38"/>
      <c r="O65" s="24"/>
      <c r="P65" s="38">
        <f t="shared" si="35"/>
        <v>0</v>
      </c>
    </row>
    <row r="66" spans="1:16" s="34" customFormat="1" ht="13.2" x14ac:dyDescent="0.3">
      <c r="A66" s="24"/>
      <c r="B66" s="25"/>
      <c r="C66" s="24" t="s">
        <v>38</v>
      </c>
      <c r="D66" s="24" t="s">
        <v>45</v>
      </c>
      <c r="E66" s="24" t="s">
        <v>46</v>
      </c>
      <c r="F66" s="24" t="s">
        <v>7</v>
      </c>
      <c r="G66" s="38">
        <v>-9118.7199999999993</v>
      </c>
      <c r="H66" s="38">
        <v>-2980</v>
      </c>
      <c r="I66" s="38"/>
      <c r="J66" s="38">
        <f t="shared" si="34"/>
        <v>-12098.72</v>
      </c>
      <c r="K66" s="24"/>
      <c r="L66" s="38"/>
      <c r="M66" s="38"/>
      <c r="N66" s="38">
        <v>7215.3790027400019</v>
      </c>
      <c r="O66" s="24"/>
      <c r="P66" s="38">
        <f t="shared" si="35"/>
        <v>-4883.3409972599975</v>
      </c>
    </row>
    <row r="67" spans="1:16" s="34" customFormat="1" ht="13.2" x14ac:dyDescent="0.3">
      <c r="A67" s="24"/>
      <c r="B67" s="25"/>
      <c r="C67" s="24" t="s">
        <v>38</v>
      </c>
      <c r="D67" s="24" t="s">
        <v>47</v>
      </c>
      <c r="E67" s="24" t="s">
        <v>48</v>
      </c>
      <c r="F67" s="24" t="s">
        <v>7</v>
      </c>
      <c r="G67" s="38">
        <v>-6283.7238606397241</v>
      </c>
      <c r="H67" s="38"/>
      <c r="I67" s="38"/>
      <c r="J67" s="38">
        <f t="shared" si="34"/>
        <v>-6283.7238606397241</v>
      </c>
      <c r="K67" s="24"/>
      <c r="L67" s="38"/>
      <c r="M67" s="38">
        <v>-404</v>
      </c>
      <c r="N67" s="38">
        <v>1716.7700346358065</v>
      </c>
      <c r="O67" s="24"/>
      <c r="P67" s="38">
        <f t="shared" si="35"/>
        <v>-4970.9538260039171</v>
      </c>
    </row>
    <row r="68" spans="1:16" s="34" customFormat="1" ht="13.2" x14ac:dyDescent="0.3">
      <c r="A68" s="24"/>
      <c r="B68" s="25"/>
      <c r="C68" s="24" t="s">
        <v>38</v>
      </c>
      <c r="D68" s="24" t="s">
        <v>261</v>
      </c>
      <c r="E68" s="24" t="s">
        <v>262</v>
      </c>
      <c r="F68" s="24" t="s">
        <v>7</v>
      </c>
      <c r="G68" s="38">
        <v>0</v>
      </c>
      <c r="H68" s="38">
        <v>-4518.3483472500011</v>
      </c>
      <c r="I68" s="38"/>
      <c r="J68" s="38">
        <f t="shared" si="34"/>
        <v>-4518.3483472500011</v>
      </c>
      <c r="K68" s="24"/>
      <c r="L68" s="38"/>
      <c r="M68" s="38">
        <v>-1585</v>
      </c>
      <c r="N68" s="38"/>
      <c r="O68" s="24"/>
      <c r="P68" s="38">
        <f t="shared" si="35"/>
        <v>-6103.3483472500011</v>
      </c>
    </row>
    <row r="69" spans="1:16" s="34" customFormat="1" ht="13.2" x14ac:dyDescent="0.3">
      <c r="A69" s="24"/>
      <c r="B69" s="25"/>
      <c r="C69" s="24" t="s">
        <v>38</v>
      </c>
      <c r="D69" s="24" t="s">
        <v>313</v>
      </c>
      <c r="E69" s="24" t="s">
        <v>314</v>
      </c>
      <c r="F69" s="24" t="s">
        <v>7</v>
      </c>
      <c r="G69" s="38"/>
      <c r="H69" s="38"/>
      <c r="I69" s="38"/>
      <c r="J69" s="38">
        <f t="shared" ref="J69" si="37">+G69+H69+I69</f>
        <v>0</v>
      </c>
      <c r="K69" s="24"/>
      <c r="L69" s="38">
        <f>-2500*3</f>
        <v>-7500</v>
      </c>
      <c r="M69" s="38"/>
      <c r="N69" s="38"/>
      <c r="O69" s="24"/>
      <c r="P69" s="38">
        <f t="shared" si="35"/>
        <v>-7500</v>
      </c>
    </row>
    <row r="70" spans="1:16" s="34" customFormat="1" ht="13.2" x14ac:dyDescent="0.3">
      <c r="A70" s="24"/>
      <c r="B70" s="25"/>
      <c r="C70" s="24" t="s">
        <v>32</v>
      </c>
      <c r="D70" s="24" t="s">
        <v>21</v>
      </c>
      <c r="E70" s="24" t="s">
        <v>21</v>
      </c>
      <c r="F70" s="24" t="s">
        <v>7</v>
      </c>
      <c r="G70" s="38">
        <v>-35184.838024137927</v>
      </c>
      <c r="H70" s="38"/>
      <c r="I70" s="38"/>
      <c r="J70" s="38">
        <f t="shared" si="34"/>
        <v>-35184.838024137927</v>
      </c>
      <c r="K70" s="24"/>
      <c r="L70" s="38"/>
      <c r="M70" s="38"/>
      <c r="N70" s="38">
        <v>18509.879088220641</v>
      </c>
      <c r="O70" s="24"/>
      <c r="P70" s="38">
        <f t="shared" si="35"/>
        <v>-16674.958935917286</v>
      </c>
    </row>
    <row r="71" spans="1:16" s="34" customFormat="1" ht="13.2" x14ac:dyDescent="0.3">
      <c r="A71" s="24"/>
      <c r="B71" s="25"/>
      <c r="C71" s="24" t="s">
        <v>35</v>
      </c>
      <c r="D71" s="24" t="s">
        <v>60</v>
      </c>
      <c r="E71" s="24" t="s">
        <v>61</v>
      </c>
      <c r="F71" s="24" t="s">
        <v>231</v>
      </c>
      <c r="G71" s="38">
        <v>-1090403.21</v>
      </c>
      <c r="H71" s="38"/>
      <c r="I71" s="38"/>
      <c r="J71" s="38">
        <f t="shared" si="34"/>
        <v>-1090403.21</v>
      </c>
      <c r="K71" s="24"/>
      <c r="L71" s="38"/>
      <c r="M71" s="38"/>
      <c r="N71" s="38">
        <v>190403.21001000001</v>
      </c>
      <c r="O71" s="24"/>
      <c r="P71" s="38">
        <f t="shared" si="35"/>
        <v>-899999.99998999992</v>
      </c>
    </row>
    <row r="72" spans="1:16" s="34" customFormat="1" ht="13.2" x14ac:dyDescent="0.3">
      <c r="A72" s="24"/>
      <c r="B72" s="25"/>
      <c r="C72" s="24" t="s">
        <v>51</v>
      </c>
      <c r="D72" s="24" t="s">
        <v>21</v>
      </c>
      <c r="E72" s="24" t="s">
        <v>21</v>
      </c>
      <c r="F72" s="24" t="s">
        <v>8</v>
      </c>
      <c r="G72" s="38">
        <v>-1344.1086013474801</v>
      </c>
      <c r="H72" s="38"/>
      <c r="I72" s="38"/>
      <c r="J72" s="38">
        <f t="shared" si="34"/>
        <v>-1344.1086013474801</v>
      </c>
      <c r="K72" s="24"/>
      <c r="L72" s="38"/>
      <c r="M72" s="38"/>
      <c r="N72" s="38">
        <v>644.03218495652493</v>
      </c>
      <c r="O72" s="24"/>
      <c r="P72" s="38">
        <f t="shared" si="35"/>
        <v>-700.07641639095516</v>
      </c>
    </row>
    <row r="73" spans="1:16" s="34" customFormat="1" ht="28.2" customHeight="1" x14ac:dyDescent="0.3">
      <c r="A73" s="24" t="s">
        <v>63</v>
      </c>
      <c r="B73" s="25" t="s">
        <v>64</v>
      </c>
      <c r="C73" s="24" t="s">
        <v>38</v>
      </c>
      <c r="D73" s="24" t="s">
        <v>21</v>
      </c>
      <c r="E73" s="24" t="s">
        <v>21</v>
      </c>
      <c r="F73" s="24" t="s">
        <v>7</v>
      </c>
      <c r="G73" s="38">
        <v>-826465.96501642012</v>
      </c>
      <c r="H73" s="38"/>
      <c r="I73" s="38"/>
      <c r="J73" s="38">
        <f t="shared" si="34"/>
        <v>-826465.96501642012</v>
      </c>
      <c r="K73" s="24"/>
      <c r="L73" s="38"/>
      <c r="M73" s="38">
        <v>-24797.935233681696</v>
      </c>
      <c r="N73" s="38">
        <v>387201.07066274248</v>
      </c>
      <c r="O73" s="24"/>
      <c r="P73" s="38">
        <f t="shared" si="35"/>
        <v>-464062.82958735933</v>
      </c>
    </row>
    <row r="74" spans="1:16" s="34" customFormat="1" ht="13.2" x14ac:dyDescent="0.3">
      <c r="A74" s="24"/>
      <c r="B74" s="25"/>
      <c r="C74" s="24" t="s">
        <v>38</v>
      </c>
      <c r="D74" s="24" t="s">
        <v>45</v>
      </c>
      <c r="E74" s="24" t="s">
        <v>46</v>
      </c>
      <c r="F74" s="24" t="s">
        <v>7</v>
      </c>
      <c r="G74" s="38">
        <v>-18104.32</v>
      </c>
      <c r="H74" s="38">
        <v>-5917</v>
      </c>
      <c r="I74" s="38"/>
      <c r="J74" s="38">
        <f t="shared" si="34"/>
        <v>-24021.32</v>
      </c>
      <c r="K74" s="24"/>
      <c r="L74" s="38"/>
      <c r="M74" s="38"/>
      <c r="N74" s="38">
        <v>14325.424005440002</v>
      </c>
      <c r="O74" s="24"/>
      <c r="P74" s="38">
        <f t="shared" si="35"/>
        <v>-9695.8959945599981</v>
      </c>
    </row>
    <row r="75" spans="1:16" s="34" customFormat="1" ht="13.2" x14ac:dyDescent="0.3">
      <c r="A75" s="24"/>
      <c r="B75" s="25"/>
      <c r="C75" s="24" t="s">
        <v>38</v>
      </c>
      <c r="D75" s="24" t="s">
        <v>47</v>
      </c>
      <c r="E75" s="24" t="s">
        <v>48</v>
      </c>
      <c r="F75" s="24" t="s">
        <v>7</v>
      </c>
      <c r="G75" s="38">
        <v>-17225.835540598691</v>
      </c>
      <c r="H75" s="38"/>
      <c r="I75" s="38"/>
      <c r="J75" s="38">
        <f t="shared" si="34"/>
        <v>-17225.835540598691</v>
      </c>
      <c r="K75" s="24"/>
      <c r="L75" s="38"/>
      <c r="M75" s="38">
        <v>-916</v>
      </c>
      <c r="N75" s="38">
        <v>4944.5861483775479</v>
      </c>
      <c r="O75" s="24"/>
      <c r="P75" s="38">
        <f t="shared" si="35"/>
        <v>-13197.249392221143</v>
      </c>
    </row>
    <row r="76" spans="1:16" s="34" customFormat="1" ht="13.2" x14ac:dyDescent="0.3">
      <c r="A76" s="24"/>
      <c r="B76" s="25"/>
      <c r="C76" s="24" t="s">
        <v>38</v>
      </c>
      <c r="D76" s="24" t="s">
        <v>261</v>
      </c>
      <c r="E76" s="24" t="s">
        <v>262</v>
      </c>
      <c r="F76" s="24" t="s">
        <v>7</v>
      </c>
      <c r="G76" s="38">
        <v>0</v>
      </c>
      <c r="H76" s="38">
        <v>-10220</v>
      </c>
      <c r="I76" s="38"/>
      <c r="J76" s="38">
        <f t="shared" si="34"/>
        <v>-10220</v>
      </c>
      <c r="K76" s="24"/>
      <c r="L76" s="38"/>
      <c r="M76" s="38">
        <v>-3508</v>
      </c>
      <c r="N76" s="38"/>
      <c r="O76" s="24"/>
      <c r="P76" s="38">
        <f t="shared" si="35"/>
        <v>-13728</v>
      </c>
    </row>
    <row r="77" spans="1:16" s="34" customFormat="1" ht="13.2" x14ac:dyDescent="0.3">
      <c r="A77" s="24"/>
      <c r="B77" s="25"/>
      <c r="C77" s="24" t="s">
        <v>38</v>
      </c>
      <c r="D77" s="24" t="s">
        <v>313</v>
      </c>
      <c r="E77" s="24" t="s">
        <v>314</v>
      </c>
      <c r="F77" s="24" t="s">
        <v>7</v>
      </c>
      <c r="G77" s="38"/>
      <c r="H77" s="38"/>
      <c r="I77" s="38"/>
      <c r="J77" s="38">
        <f t="shared" si="34"/>
        <v>0</v>
      </c>
      <c r="K77" s="24"/>
      <c r="L77" s="38">
        <f>-2500*7</f>
        <v>-17500</v>
      </c>
      <c r="M77" s="38"/>
      <c r="N77" s="38"/>
      <c r="O77" s="24"/>
      <c r="P77" s="38">
        <f t="shared" si="35"/>
        <v>-17500</v>
      </c>
    </row>
    <row r="78" spans="1:16" s="34" customFormat="1" ht="13.2" x14ac:dyDescent="0.3">
      <c r="A78" s="24"/>
      <c r="B78" s="25"/>
      <c r="C78" s="24" t="s">
        <v>32</v>
      </c>
      <c r="D78" s="24" t="s">
        <v>21</v>
      </c>
      <c r="E78" s="24" t="s">
        <v>21</v>
      </c>
      <c r="F78" s="24" t="s">
        <v>7</v>
      </c>
      <c r="G78" s="38">
        <v>-83715.469589655157</v>
      </c>
      <c r="H78" s="38"/>
      <c r="I78" s="38"/>
      <c r="J78" s="38">
        <f t="shared" si="34"/>
        <v>-83715.469589655157</v>
      </c>
      <c r="K78" s="24"/>
      <c r="L78" s="38"/>
      <c r="M78" s="38"/>
      <c r="N78" s="38">
        <v>43998.474976090838</v>
      </c>
      <c r="O78" s="24"/>
      <c r="P78" s="38">
        <f t="shared" si="35"/>
        <v>-39716.994613564319</v>
      </c>
    </row>
    <row r="79" spans="1:16" s="34" customFormat="1" ht="13.2" x14ac:dyDescent="0.3">
      <c r="A79" s="24"/>
      <c r="B79" s="25"/>
      <c r="C79" s="24" t="s">
        <v>35</v>
      </c>
      <c r="D79" s="24" t="s">
        <v>21</v>
      </c>
      <c r="E79" s="24" t="s">
        <v>21</v>
      </c>
      <c r="F79" s="24" t="s">
        <v>7</v>
      </c>
      <c r="G79" s="38">
        <v>-1635818.48</v>
      </c>
      <c r="H79" s="38"/>
      <c r="I79" s="38"/>
      <c r="J79" s="38">
        <f t="shared" si="34"/>
        <v>-1635818.48</v>
      </c>
      <c r="K79" s="24"/>
      <c r="L79" s="38"/>
      <c r="M79" s="38"/>
      <c r="N79" s="38">
        <v>1418539.00006</v>
      </c>
      <c r="O79" s="24"/>
      <c r="P79" s="38">
        <f t="shared" si="35"/>
        <v>-217279.47993999999</v>
      </c>
    </row>
    <row r="80" spans="1:16" s="34" customFormat="1" ht="13.2" x14ac:dyDescent="0.3">
      <c r="A80" s="24"/>
      <c r="B80" s="25"/>
      <c r="C80" s="24" t="s">
        <v>35</v>
      </c>
      <c r="D80" s="24" t="s">
        <v>65</v>
      </c>
      <c r="E80" s="24" t="s">
        <v>66</v>
      </c>
      <c r="F80" s="24" t="s">
        <v>99</v>
      </c>
      <c r="G80" s="38">
        <v>-23500000</v>
      </c>
      <c r="H80" s="38"/>
      <c r="I80" s="38"/>
      <c r="J80" s="38">
        <f t="shared" si="34"/>
        <v>-23500000</v>
      </c>
      <c r="K80" s="24"/>
      <c r="L80" s="38"/>
      <c r="M80" s="38"/>
      <c r="N80" s="38">
        <v>23500000.000009999</v>
      </c>
      <c r="O80" s="24"/>
      <c r="P80" s="38">
        <f t="shared" si="35"/>
        <v>9.9986791610717773E-6</v>
      </c>
    </row>
    <row r="81" spans="1:16" s="34" customFormat="1" ht="26.4" x14ac:dyDescent="0.3">
      <c r="A81" s="24"/>
      <c r="B81" s="25"/>
      <c r="C81" s="24" t="s">
        <v>35</v>
      </c>
      <c r="D81" s="24" t="s">
        <v>67</v>
      </c>
      <c r="E81" s="25" t="s">
        <v>68</v>
      </c>
      <c r="F81" s="24" t="s">
        <v>69</v>
      </c>
      <c r="G81" s="38">
        <v>-1930000</v>
      </c>
      <c r="H81" s="38"/>
      <c r="I81" s="38"/>
      <c r="J81" s="38">
        <f t="shared" si="34"/>
        <v>-1930000</v>
      </c>
      <c r="K81" s="24"/>
      <c r="L81" s="38"/>
      <c r="M81" s="38"/>
      <c r="N81" s="38">
        <v>1930000.0000100001</v>
      </c>
      <c r="O81" s="24"/>
      <c r="P81" s="38">
        <f t="shared" si="35"/>
        <v>1.0000076144933701E-5</v>
      </c>
    </row>
    <row r="82" spans="1:16" s="34" customFormat="1" ht="26.4" x14ac:dyDescent="0.3">
      <c r="A82" s="24"/>
      <c r="B82" s="25"/>
      <c r="C82" s="24" t="s">
        <v>35</v>
      </c>
      <c r="D82" s="24" t="s">
        <v>70</v>
      </c>
      <c r="E82" s="25" t="s">
        <v>71</v>
      </c>
      <c r="F82" s="24" t="s">
        <v>69</v>
      </c>
      <c r="G82" s="38">
        <v>-5249532</v>
      </c>
      <c r="H82" s="38"/>
      <c r="I82" s="38"/>
      <c r="J82" s="38">
        <f t="shared" si="34"/>
        <v>-5249532</v>
      </c>
      <c r="K82" s="24"/>
      <c r="L82" s="38"/>
      <c r="M82" s="38"/>
      <c r="N82" s="38">
        <v>4349532.0000200002</v>
      </c>
      <c r="O82" s="24"/>
      <c r="P82" s="38">
        <f t="shared" si="35"/>
        <v>-899999.99997999985</v>
      </c>
    </row>
    <row r="83" spans="1:16" s="34" customFormat="1" ht="26.4" x14ac:dyDescent="0.3">
      <c r="A83" s="24"/>
      <c r="B83" s="25"/>
      <c r="C83" s="24" t="s">
        <v>35</v>
      </c>
      <c r="D83" s="24" t="s">
        <v>72</v>
      </c>
      <c r="E83" s="25" t="s">
        <v>73</v>
      </c>
      <c r="F83" s="24" t="s">
        <v>69</v>
      </c>
      <c r="G83" s="38">
        <v>-799169</v>
      </c>
      <c r="H83" s="38"/>
      <c r="I83" s="38"/>
      <c r="J83" s="38">
        <f t="shared" si="34"/>
        <v>-799169</v>
      </c>
      <c r="K83" s="24"/>
      <c r="L83" s="38"/>
      <c r="M83" s="38"/>
      <c r="N83" s="38">
        <v>103000.00001</v>
      </c>
      <c r="O83" s="24"/>
      <c r="P83" s="38">
        <f t="shared" si="35"/>
        <v>-696168.99999000004</v>
      </c>
    </row>
    <row r="84" spans="1:16" s="34" customFormat="1" ht="13.2" x14ac:dyDescent="0.3">
      <c r="A84" s="24"/>
      <c r="B84" s="25"/>
      <c r="C84" s="24" t="s">
        <v>74</v>
      </c>
      <c r="D84" s="24" t="s">
        <v>75</v>
      </c>
      <c r="E84" s="24" t="s">
        <v>76</v>
      </c>
      <c r="F84" s="24" t="s">
        <v>77</v>
      </c>
      <c r="G84" s="38">
        <v>-4254242.9249924701</v>
      </c>
      <c r="H84" s="38"/>
      <c r="I84" s="38"/>
      <c r="J84" s="38">
        <f t="shared" si="34"/>
        <v>-4254242.9249924701</v>
      </c>
      <c r="K84" s="24"/>
      <c r="L84" s="38"/>
      <c r="M84" s="38"/>
      <c r="N84" s="38">
        <v>4254242.9250075286</v>
      </c>
      <c r="O84" s="24"/>
      <c r="P84" s="38">
        <f t="shared" si="35"/>
        <v>1.5058554708957672E-5</v>
      </c>
    </row>
    <row r="85" spans="1:16" s="34" customFormat="1" ht="13.2" x14ac:dyDescent="0.3">
      <c r="A85" s="24"/>
      <c r="B85" s="25"/>
      <c r="C85" s="24" t="s">
        <v>74</v>
      </c>
      <c r="D85" s="24" t="s">
        <v>49</v>
      </c>
      <c r="E85" s="24" t="s">
        <v>50</v>
      </c>
      <c r="F85" s="24" t="s">
        <v>78</v>
      </c>
      <c r="G85" s="38">
        <v>-6167700</v>
      </c>
      <c r="H85" s="38"/>
      <c r="I85" s="38"/>
      <c r="J85" s="38">
        <f t="shared" si="34"/>
        <v>-6167700</v>
      </c>
      <c r="K85" s="24"/>
      <c r="L85" s="38"/>
      <c r="M85" s="38"/>
      <c r="N85" s="38">
        <v>6167700.0000099996</v>
      </c>
      <c r="O85" s="24"/>
      <c r="P85" s="38">
        <f t="shared" si="35"/>
        <v>9.9996104836463928E-6</v>
      </c>
    </row>
    <row r="86" spans="1:16" s="34" customFormat="1" ht="13.2" x14ac:dyDescent="0.3">
      <c r="A86" s="24"/>
      <c r="B86" s="25"/>
      <c r="C86" s="24" t="s">
        <v>51</v>
      </c>
      <c r="D86" s="24" t="s">
        <v>21</v>
      </c>
      <c r="E86" s="24" t="s">
        <v>21</v>
      </c>
      <c r="F86" s="24" t="s">
        <v>8</v>
      </c>
      <c r="G86" s="38">
        <v>-3416.7564385902738</v>
      </c>
      <c r="H86" s="38"/>
      <c r="I86" s="38"/>
      <c r="J86" s="38">
        <f t="shared" si="34"/>
        <v>-3416.7564385902738</v>
      </c>
      <c r="K86" s="24"/>
      <c r="L86" s="38"/>
      <c r="M86" s="38"/>
      <c r="N86" s="38">
        <v>1637.1453262061918</v>
      </c>
      <c r="O86" s="24"/>
      <c r="P86" s="38">
        <f t="shared" si="35"/>
        <v>-1779.6111123840819</v>
      </c>
    </row>
    <row r="87" spans="1:16" s="34" customFormat="1" ht="26.4" x14ac:dyDescent="0.3">
      <c r="A87" s="24" t="s">
        <v>79</v>
      </c>
      <c r="B87" s="25" t="s">
        <v>80</v>
      </c>
      <c r="C87" s="24" t="s">
        <v>38</v>
      </c>
      <c r="D87" s="24" t="s">
        <v>21</v>
      </c>
      <c r="E87" s="24" t="s">
        <v>21</v>
      </c>
      <c r="F87" s="24" t="s">
        <v>7</v>
      </c>
      <c r="G87" s="38">
        <v>-274605.73975314287</v>
      </c>
      <c r="H87" s="38"/>
      <c r="I87" s="38"/>
      <c r="J87" s="38">
        <f t="shared" si="34"/>
        <v>-274605.73975314287</v>
      </c>
      <c r="K87" s="24"/>
      <c r="L87" s="38"/>
      <c r="M87" s="38">
        <v>-34931.203022099842</v>
      </c>
      <c r="N87" s="38">
        <v>97687.066438090813</v>
      </c>
      <c r="O87" s="24"/>
      <c r="P87" s="38">
        <f t="shared" si="35"/>
        <v>-211849.87633715192</v>
      </c>
    </row>
    <row r="88" spans="1:16" s="34" customFormat="1" ht="13.2" x14ac:dyDescent="0.3">
      <c r="A88" s="24"/>
      <c r="B88" s="25"/>
      <c r="C88" s="24" t="s">
        <v>38</v>
      </c>
      <c r="D88" s="24" t="s">
        <v>45</v>
      </c>
      <c r="E88" s="24" t="s">
        <v>46</v>
      </c>
      <c r="F88" s="24" t="s">
        <v>7</v>
      </c>
      <c r="G88" s="38">
        <v>-5324.8</v>
      </c>
      <c r="H88" s="38">
        <v>-1740</v>
      </c>
      <c r="I88" s="38"/>
      <c r="J88" s="38">
        <f t="shared" si="34"/>
        <v>-7064.8</v>
      </c>
      <c r="K88" s="24"/>
      <c r="L88" s="38"/>
      <c r="M88" s="38"/>
      <c r="N88" s="38">
        <v>4213.3600016</v>
      </c>
      <c r="O88" s="24"/>
      <c r="P88" s="38">
        <f t="shared" si="35"/>
        <v>-2851.4399984000001</v>
      </c>
    </row>
    <row r="89" spans="1:16" s="34" customFormat="1" ht="13.2" x14ac:dyDescent="0.3">
      <c r="A89" s="24"/>
      <c r="B89" s="25"/>
      <c r="C89" s="24" t="s">
        <v>38</v>
      </c>
      <c r="D89" s="24" t="s">
        <v>47</v>
      </c>
      <c r="E89" s="24" t="s">
        <v>48</v>
      </c>
      <c r="F89" s="24" t="s">
        <v>7</v>
      </c>
      <c r="G89" s="38">
        <v>-947.62533021591821</v>
      </c>
      <c r="H89" s="38"/>
      <c r="I89" s="38"/>
      <c r="J89" s="38">
        <f t="shared" si="34"/>
        <v>-947.62533021591821</v>
      </c>
      <c r="K89" s="24"/>
      <c r="L89" s="38"/>
      <c r="M89" s="38">
        <v>-134</v>
      </c>
      <c r="N89" s="38">
        <v>78.709677741935494</v>
      </c>
      <c r="O89" s="24"/>
      <c r="P89" s="38">
        <f t="shared" si="35"/>
        <v>-1002.9156524739827</v>
      </c>
    </row>
    <row r="90" spans="1:16" s="34" customFormat="1" ht="13.2" x14ac:dyDescent="0.3">
      <c r="A90" s="24"/>
      <c r="B90" s="25"/>
      <c r="C90" s="24" t="s">
        <v>38</v>
      </c>
      <c r="D90" s="24" t="s">
        <v>261</v>
      </c>
      <c r="E90" s="24" t="s">
        <v>262</v>
      </c>
      <c r="F90" s="24" t="s">
        <v>7</v>
      </c>
      <c r="G90" s="38">
        <v>0</v>
      </c>
      <c r="H90" s="38">
        <v>-4440</v>
      </c>
      <c r="I90" s="38"/>
      <c r="J90" s="38">
        <f t="shared" si="34"/>
        <v>-4440</v>
      </c>
      <c r="K90" s="24"/>
      <c r="L90" s="38"/>
      <c r="M90" s="38">
        <v>-2346</v>
      </c>
      <c r="N90" s="38"/>
      <c r="O90" s="24"/>
      <c r="P90" s="38">
        <f t="shared" si="35"/>
        <v>-6786</v>
      </c>
    </row>
    <row r="91" spans="1:16" s="34" customFormat="1" ht="13.2" x14ac:dyDescent="0.3">
      <c r="A91" s="24"/>
      <c r="B91" s="25"/>
      <c r="C91" s="24" t="s">
        <v>38</v>
      </c>
      <c r="D91" s="24" t="s">
        <v>313</v>
      </c>
      <c r="E91" s="24" t="s">
        <v>314</v>
      </c>
      <c r="F91" s="24" t="s">
        <v>7</v>
      </c>
      <c r="G91" s="38"/>
      <c r="H91" s="38"/>
      <c r="I91" s="38"/>
      <c r="J91" s="38">
        <f t="shared" ref="J91" si="38">+G91+H91+I91</f>
        <v>0</v>
      </c>
      <c r="K91" s="24"/>
      <c r="L91" s="38">
        <f>-2500*1</f>
        <v>-2500</v>
      </c>
      <c r="M91" s="38"/>
      <c r="N91" s="38"/>
      <c r="O91" s="24"/>
      <c r="P91" s="38">
        <f t="shared" si="35"/>
        <v>-2500</v>
      </c>
    </row>
    <row r="92" spans="1:16" s="34" customFormat="1" ht="13.2" x14ac:dyDescent="0.3">
      <c r="A92" s="24"/>
      <c r="B92" s="25"/>
      <c r="C92" s="24" t="s">
        <v>32</v>
      </c>
      <c r="D92" s="24" t="s">
        <v>21</v>
      </c>
      <c r="E92" s="24" t="s">
        <v>21</v>
      </c>
      <c r="F92" s="24" t="s">
        <v>7</v>
      </c>
      <c r="G92" s="38">
        <v>-13804.824609048119</v>
      </c>
      <c r="H92" s="38"/>
      <c r="I92" s="38"/>
      <c r="J92" s="38">
        <f t="shared" si="34"/>
        <v>-13804.824609048119</v>
      </c>
      <c r="K92" s="24"/>
      <c r="L92" s="38"/>
      <c r="M92" s="38"/>
      <c r="N92" s="38">
        <v>5744.7741941935483</v>
      </c>
      <c r="O92" s="24"/>
      <c r="P92" s="38">
        <f t="shared" si="35"/>
        <v>-8060.0504148545706</v>
      </c>
    </row>
    <row r="93" spans="1:16" s="34" customFormat="1" ht="13.2" x14ac:dyDescent="0.3">
      <c r="A93" s="24"/>
      <c r="B93" s="25"/>
      <c r="C93" s="24" t="s">
        <v>74</v>
      </c>
      <c r="D93" s="24" t="s">
        <v>75</v>
      </c>
      <c r="E93" s="24" t="s">
        <v>76</v>
      </c>
      <c r="F93" s="24" t="s">
        <v>77</v>
      </c>
      <c r="G93" s="38">
        <v>-1395482.0749975301</v>
      </c>
      <c r="H93" s="38"/>
      <c r="I93" s="38"/>
      <c r="J93" s="38">
        <f t="shared" si="34"/>
        <v>-1395482.0749975301</v>
      </c>
      <c r="K93" s="24"/>
      <c r="L93" s="38"/>
      <c r="M93" s="38"/>
      <c r="N93" s="38">
        <v>1395482.0750024701</v>
      </c>
      <c r="O93" s="24"/>
      <c r="P93" s="38">
        <f t="shared" si="35"/>
        <v>4.9399677664041519E-6</v>
      </c>
    </row>
    <row r="94" spans="1:16" s="34" customFormat="1" ht="13.2" x14ac:dyDescent="0.3">
      <c r="A94" s="24"/>
      <c r="B94" s="25"/>
      <c r="C94" s="24" t="s">
        <v>51</v>
      </c>
      <c r="D94" s="24" t="s">
        <v>21</v>
      </c>
      <c r="E94" s="24" t="s">
        <v>21</v>
      </c>
      <c r="F94" s="24" t="s">
        <v>8</v>
      </c>
      <c r="G94" s="38">
        <v>-2702.5853235529657</v>
      </c>
      <c r="H94" s="38"/>
      <c r="I94" s="38"/>
      <c r="J94" s="38">
        <f t="shared" si="34"/>
        <v>-2702.5853235529657</v>
      </c>
      <c r="K94" s="24"/>
      <c r="L94" s="38"/>
      <c r="M94" s="38"/>
      <c r="N94" s="38">
        <v>1327.2697981591232</v>
      </c>
      <c r="O94" s="24"/>
      <c r="P94" s="38">
        <f t="shared" si="35"/>
        <v>-1375.3155253938426</v>
      </c>
    </row>
    <row r="95" spans="1:16" s="34" customFormat="1" ht="26.4" x14ac:dyDescent="0.3">
      <c r="A95" s="24" t="s">
        <v>81</v>
      </c>
      <c r="B95" s="25" t="s">
        <v>82</v>
      </c>
      <c r="C95" s="24" t="s">
        <v>38</v>
      </c>
      <c r="D95" s="24" t="s">
        <v>21</v>
      </c>
      <c r="E95" s="24" t="s">
        <v>21</v>
      </c>
      <c r="F95" s="24" t="s">
        <v>7</v>
      </c>
      <c r="G95" s="38">
        <v>-109258.93621161414</v>
      </c>
      <c r="H95" s="38"/>
      <c r="I95" s="38"/>
      <c r="J95" s="38">
        <f t="shared" si="34"/>
        <v>-109258.93621161414</v>
      </c>
      <c r="K95" s="24"/>
      <c r="L95" s="38"/>
      <c r="M95" s="38">
        <v>-30643.551174741071</v>
      </c>
      <c r="N95" s="38">
        <v>15746.680704526942</v>
      </c>
      <c r="O95" s="24"/>
      <c r="P95" s="38">
        <f t="shared" si="35"/>
        <v>-124155.80668182827</v>
      </c>
    </row>
    <row r="96" spans="1:16" s="34" customFormat="1" ht="13.2" x14ac:dyDescent="0.3">
      <c r="A96" s="24"/>
      <c r="B96" s="25"/>
      <c r="C96" s="24" t="s">
        <v>38</v>
      </c>
      <c r="D96" s="24" t="s">
        <v>47</v>
      </c>
      <c r="E96" s="24" t="s">
        <v>48</v>
      </c>
      <c r="F96" s="24" t="s">
        <v>7</v>
      </c>
      <c r="G96" s="38">
        <v>-545.79189115056465</v>
      </c>
      <c r="H96" s="38"/>
      <c r="I96" s="38"/>
      <c r="J96" s="38">
        <f t="shared" si="34"/>
        <v>-545.79189115056465</v>
      </c>
      <c r="K96" s="24"/>
      <c r="L96" s="38"/>
      <c r="M96" s="38">
        <v>-85</v>
      </c>
      <c r="N96" s="38"/>
      <c r="O96" s="24"/>
      <c r="P96" s="38">
        <f t="shared" si="35"/>
        <v>-630.79189115056465</v>
      </c>
    </row>
    <row r="97" spans="1:16" s="34" customFormat="1" ht="13.2" x14ac:dyDescent="0.3">
      <c r="A97" s="24"/>
      <c r="B97" s="25"/>
      <c r="C97" s="24" t="s">
        <v>32</v>
      </c>
      <c r="D97" s="24" t="s">
        <v>21</v>
      </c>
      <c r="E97" s="24" t="s">
        <v>21</v>
      </c>
      <c r="F97" s="24" t="s">
        <v>7</v>
      </c>
      <c r="G97" s="38">
        <v>-7950.992073710504</v>
      </c>
      <c r="H97" s="38"/>
      <c r="I97" s="38"/>
      <c r="J97" s="38">
        <f t="shared" si="34"/>
        <v>-7950.992073710504</v>
      </c>
      <c r="K97" s="24"/>
      <c r="L97" s="38"/>
      <c r="M97" s="38"/>
      <c r="N97" s="38"/>
      <c r="O97" s="24"/>
      <c r="P97" s="38">
        <f t="shared" si="35"/>
        <v>-7950.992073710504</v>
      </c>
    </row>
    <row r="98" spans="1:16" s="34" customFormat="1" ht="13.2" x14ac:dyDescent="0.3">
      <c r="A98" s="24"/>
      <c r="B98" s="25"/>
      <c r="C98" s="24" t="s">
        <v>51</v>
      </c>
      <c r="D98" s="24" t="s">
        <v>21</v>
      </c>
      <c r="E98" s="24" t="s">
        <v>21</v>
      </c>
      <c r="F98" s="24" t="s">
        <v>8</v>
      </c>
      <c r="G98" s="38">
        <v>-4394.2581824991976</v>
      </c>
      <c r="H98" s="38"/>
      <c r="I98" s="38"/>
      <c r="J98" s="38">
        <f t="shared" si="34"/>
        <v>-4394.2581824991976</v>
      </c>
      <c r="K98" s="24"/>
      <c r="L98" s="38"/>
      <c r="M98" s="38"/>
      <c r="N98" s="38">
        <v>2193.3171736890636</v>
      </c>
      <c r="O98" s="24"/>
      <c r="P98" s="38">
        <f t="shared" si="35"/>
        <v>-2200.941008810134</v>
      </c>
    </row>
    <row r="99" spans="1:16" s="34" customFormat="1" ht="13.2" x14ac:dyDescent="0.3">
      <c r="A99" s="85" t="s">
        <v>300</v>
      </c>
      <c r="B99" s="85"/>
      <c r="C99" s="85"/>
      <c r="D99" s="33"/>
      <c r="E99" s="33"/>
      <c r="F99" s="33"/>
      <c r="G99" s="31">
        <f>+SUBTOTAL(9, G101:G170)</f>
        <v>-74050039.531001359</v>
      </c>
      <c r="H99" s="31">
        <f>+SUBTOTAL(9, H101:H170)</f>
        <v>-4090554.3353025001</v>
      </c>
      <c r="I99" s="31">
        <f>+SUBTOTAL(9, I101:I170)</f>
        <v>17100</v>
      </c>
      <c r="J99" s="31">
        <f>+SUBTOTAL(9, J101:J170)</f>
        <v>-78123493.866303846</v>
      </c>
      <c r="K99" s="31">
        <f t="shared" ref="K99:N99" si="39">+SUBTOTAL(9, K101:K170)</f>
        <v>0</v>
      </c>
      <c r="L99" s="31">
        <f t="shared" si="39"/>
        <v>-1649353</v>
      </c>
      <c r="M99" s="31">
        <f t="shared" si="39"/>
        <v>32555.334086676863</v>
      </c>
      <c r="N99" s="31">
        <f t="shared" si="39"/>
        <v>2681377.0580871054</v>
      </c>
      <c r="O99" s="31">
        <f t="shared" ref="O99:P99" si="40">+SUBTOTAL(9, O101:O170)</f>
        <v>60000</v>
      </c>
      <c r="P99" s="31">
        <f t="shared" si="40"/>
        <v>-76998914.474130079</v>
      </c>
    </row>
    <row r="100" spans="1:16" s="34" customFormat="1" ht="13.2" x14ac:dyDescent="0.3">
      <c r="A100" s="85" t="s">
        <v>83</v>
      </c>
      <c r="B100" s="85"/>
      <c r="C100" s="37"/>
      <c r="D100" s="33"/>
      <c r="E100" s="33"/>
      <c r="F100" s="33"/>
      <c r="G100" s="31">
        <f>+SUBTOTAL(9, G102:G170)</f>
        <v>-74050039.531001359</v>
      </c>
      <c r="H100" s="31">
        <f t="shared" ref="H100:J100" si="41">+SUBTOTAL(9, H102:H170)</f>
        <v>-4090554.3353025001</v>
      </c>
      <c r="I100" s="31">
        <f t="shared" si="41"/>
        <v>17100</v>
      </c>
      <c r="J100" s="31">
        <f t="shared" si="41"/>
        <v>-78123493.866303846</v>
      </c>
      <c r="K100" s="31">
        <f t="shared" ref="K100:N100" si="42">+SUBTOTAL(9, K102:K170)</f>
        <v>0</v>
      </c>
      <c r="L100" s="31">
        <f t="shared" si="42"/>
        <v>-1649353</v>
      </c>
      <c r="M100" s="31">
        <f t="shared" si="42"/>
        <v>32555.334086676863</v>
      </c>
      <c r="N100" s="31">
        <f t="shared" si="42"/>
        <v>2681377.0580871054</v>
      </c>
      <c r="O100" s="31">
        <f t="shared" ref="O100:P100" si="43">+SUBTOTAL(9, O102:O170)</f>
        <v>60000</v>
      </c>
      <c r="P100" s="31">
        <f t="shared" si="43"/>
        <v>-76998914.474130079</v>
      </c>
    </row>
    <row r="101" spans="1:16" s="34" customFormat="1" ht="13.2" x14ac:dyDescent="0.3">
      <c r="A101" s="84" t="s">
        <v>84</v>
      </c>
      <c r="B101" s="84"/>
      <c r="C101" s="37"/>
      <c r="D101" s="33"/>
      <c r="E101" s="33"/>
      <c r="F101" s="33"/>
      <c r="G101" s="31">
        <f>+SUBTOTAL(9, G102:G105)</f>
        <v>-3277245.9989800001</v>
      </c>
      <c r="H101" s="31">
        <f t="shared" ref="H101:J101" si="44">+SUBTOTAL(9, H102:H105)</f>
        <v>-186900</v>
      </c>
      <c r="I101" s="31">
        <f t="shared" si="44"/>
        <v>0</v>
      </c>
      <c r="J101" s="31">
        <f t="shared" si="44"/>
        <v>-3464145.9989800001</v>
      </c>
      <c r="K101" s="31">
        <f t="shared" ref="K101:N101" si="45">+SUBTOTAL(9, K102:K105)</f>
        <v>0</v>
      </c>
      <c r="L101" s="31">
        <f t="shared" si="45"/>
        <v>0</v>
      </c>
      <c r="M101" s="31">
        <f t="shared" si="45"/>
        <v>-66490.139970000018</v>
      </c>
      <c r="N101" s="31">
        <f t="shared" si="45"/>
        <v>1638553.00003</v>
      </c>
      <c r="O101" s="31">
        <f t="shared" ref="O101:P101" si="46">+SUBTOTAL(9, O102:O105)</f>
        <v>0</v>
      </c>
      <c r="P101" s="31">
        <f t="shared" si="46"/>
        <v>-1892083.1389200001</v>
      </c>
    </row>
    <row r="102" spans="1:16" s="34" customFormat="1" ht="14.25" customHeight="1" x14ac:dyDescent="0.3">
      <c r="A102" s="24" t="s">
        <v>85</v>
      </c>
      <c r="B102" s="25" t="s">
        <v>86</v>
      </c>
      <c r="C102" s="24" t="s">
        <v>38</v>
      </c>
      <c r="D102" s="24" t="s">
        <v>87</v>
      </c>
      <c r="E102" s="24" t="s">
        <v>88</v>
      </c>
      <c r="F102" s="24" t="s">
        <v>6</v>
      </c>
      <c r="G102" s="38">
        <v>-1886580</v>
      </c>
      <c r="H102" s="38"/>
      <c r="I102" s="38"/>
      <c r="J102" s="38">
        <f t="shared" si="34"/>
        <v>-1886580</v>
      </c>
      <c r="K102" s="24"/>
      <c r="L102" s="24"/>
      <c r="M102" s="38">
        <v>-126490.13997000002</v>
      </c>
      <c r="N102" s="38">
        <v>1638553.00003</v>
      </c>
      <c r="O102" s="24"/>
      <c r="P102" s="38">
        <f t="shared" ref="P102:P163" si="47">+J102+K102+L102+M102+N102+O102</f>
        <v>-374517.13993999991</v>
      </c>
    </row>
    <row r="103" spans="1:16" s="34" customFormat="1" ht="14.25" customHeight="1" x14ac:dyDescent="0.3">
      <c r="A103" s="24"/>
      <c r="B103" s="25"/>
      <c r="C103" s="24" t="s">
        <v>38</v>
      </c>
      <c r="D103" s="24" t="s">
        <v>265</v>
      </c>
      <c r="E103" s="24" t="s">
        <v>266</v>
      </c>
      <c r="F103" s="24" t="s">
        <v>6</v>
      </c>
      <c r="G103" s="38">
        <v>0</v>
      </c>
      <c r="H103" s="38">
        <v>-36900</v>
      </c>
      <c r="I103" s="38"/>
      <c r="J103" s="38">
        <f t="shared" si="34"/>
        <v>-36900</v>
      </c>
      <c r="K103" s="24"/>
      <c r="L103" s="24"/>
      <c r="M103" s="38"/>
      <c r="N103" s="24"/>
      <c r="O103" s="24"/>
      <c r="P103" s="38">
        <f t="shared" si="47"/>
        <v>-36900</v>
      </c>
    </row>
    <row r="104" spans="1:16" s="34" customFormat="1" ht="14.25" customHeight="1" x14ac:dyDescent="0.3">
      <c r="A104" s="24"/>
      <c r="B104" s="25"/>
      <c r="C104" s="24" t="s">
        <v>38</v>
      </c>
      <c r="D104" s="24" t="s">
        <v>267</v>
      </c>
      <c r="E104" s="24" t="s">
        <v>268</v>
      </c>
      <c r="F104" s="24" t="s">
        <v>6</v>
      </c>
      <c r="G104" s="38">
        <v>0</v>
      </c>
      <c r="H104" s="38">
        <v>-150000</v>
      </c>
      <c r="I104" s="38"/>
      <c r="J104" s="38">
        <f t="shared" si="34"/>
        <v>-150000</v>
      </c>
      <c r="K104" s="24"/>
      <c r="L104" s="24"/>
      <c r="M104" s="38">
        <v>60000</v>
      </c>
      <c r="N104" s="24"/>
      <c r="O104" s="24"/>
      <c r="P104" s="38">
        <f t="shared" si="47"/>
        <v>-90000</v>
      </c>
    </row>
    <row r="105" spans="1:16" s="34" customFormat="1" ht="13.2" x14ac:dyDescent="0.3">
      <c r="A105" s="24"/>
      <c r="B105" s="25"/>
      <c r="C105" s="24" t="s">
        <v>32</v>
      </c>
      <c r="D105" s="24" t="s">
        <v>87</v>
      </c>
      <c r="E105" s="24" t="s">
        <v>88</v>
      </c>
      <c r="F105" s="24" t="s">
        <v>89</v>
      </c>
      <c r="G105" s="38">
        <v>-1390665.9989800001</v>
      </c>
      <c r="H105" s="38"/>
      <c r="I105" s="38"/>
      <c r="J105" s="38">
        <f t="shared" si="34"/>
        <v>-1390665.9989800001</v>
      </c>
      <c r="K105" s="24"/>
      <c r="L105" s="24"/>
      <c r="M105" s="38"/>
      <c r="N105" s="24"/>
      <c r="O105" s="24"/>
      <c r="P105" s="38">
        <f t="shared" si="47"/>
        <v>-1390665.9989800001</v>
      </c>
    </row>
    <row r="106" spans="1:16" s="34" customFormat="1" ht="13.2" x14ac:dyDescent="0.3">
      <c r="A106" s="84" t="s">
        <v>42</v>
      </c>
      <c r="B106" s="84"/>
      <c r="C106" s="35"/>
      <c r="D106" s="33"/>
      <c r="E106" s="33"/>
      <c r="F106" s="33"/>
      <c r="G106" s="31">
        <f t="shared" ref="G106:P106" si="48">+SUBTOTAL(9, G107:G170)</f>
        <v>-70772793.532021344</v>
      </c>
      <c r="H106" s="31">
        <f t="shared" si="48"/>
        <v>-3903654.3353025001</v>
      </c>
      <c r="I106" s="31">
        <f t="shared" si="48"/>
        <v>17100</v>
      </c>
      <c r="J106" s="31">
        <f t="shared" si="48"/>
        <v>-74659347.867323861</v>
      </c>
      <c r="K106" s="31">
        <f t="shared" si="48"/>
        <v>0</v>
      </c>
      <c r="L106" s="31">
        <f t="shared" si="48"/>
        <v>-1649353</v>
      </c>
      <c r="M106" s="31">
        <f t="shared" si="48"/>
        <v>99045.474056676947</v>
      </c>
      <c r="N106" s="31">
        <f t="shared" si="48"/>
        <v>1042824.0580571062</v>
      </c>
      <c r="O106" s="31">
        <f t="shared" si="48"/>
        <v>60000</v>
      </c>
      <c r="P106" s="31">
        <f t="shared" si="48"/>
        <v>-75106831.33521007</v>
      </c>
    </row>
    <row r="107" spans="1:16" s="34" customFormat="1" ht="13.2" x14ac:dyDescent="0.3">
      <c r="A107" s="24" t="s">
        <v>90</v>
      </c>
      <c r="B107" s="25" t="s">
        <v>91</v>
      </c>
      <c r="C107" s="24" t="s">
        <v>38</v>
      </c>
      <c r="D107" s="24" t="s">
        <v>21</v>
      </c>
      <c r="E107" s="24" t="s">
        <v>21</v>
      </c>
      <c r="F107" s="24" t="s">
        <v>7</v>
      </c>
      <c r="G107" s="38">
        <v>-206188.2228624312</v>
      </c>
      <c r="H107" s="38"/>
      <c r="I107" s="38"/>
      <c r="J107" s="38">
        <f t="shared" si="34"/>
        <v>-206188.2228624312</v>
      </c>
      <c r="K107" s="24"/>
      <c r="L107" s="24"/>
      <c r="M107" s="38">
        <v>-29634.462186077741</v>
      </c>
      <c r="N107" s="38">
        <v>11020.029258083356</v>
      </c>
      <c r="O107" s="24"/>
      <c r="P107" s="38">
        <f t="shared" si="47"/>
        <v>-224802.65579042558</v>
      </c>
    </row>
    <row r="108" spans="1:16" s="34" customFormat="1" ht="13.2" x14ac:dyDescent="0.3">
      <c r="A108" s="24"/>
      <c r="B108" s="25"/>
      <c r="C108" s="24" t="s">
        <v>38</v>
      </c>
      <c r="D108" s="24" t="s">
        <v>47</v>
      </c>
      <c r="E108" s="24" t="s">
        <v>48</v>
      </c>
      <c r="F108" s="24" t="s">
        <v>7</v>
      </c>
      <c r="G108" s="38">
        <v>-1803.2146011975904</v>
      </c>
      <c r="H108" s="38"/>
      <c r="I108" s="38"/>
      <c r="J108" s="38">
        <f t="shared" si="34"/>
        <v>-1803.2146011975904</v>
      </c>
      <c r="K108" s="24"/>
      <c r="L108" s="24"/>
      <c r="M108" s="38">
        <v>-7170.8633510439595</v>
      </c>
      <c r="N108" s="38"/>
      <c r="O108" s="24"/>
      <c r="P108" s="38">
        <f t="shared" si="47"/>
        <v>-8974.0779522415505</v>
      </c>
    </row>
    <row r="109" spans="1:16" s="34" customFormat="1" ht="13.2" x14ac:dyDescent="0.3">
      <c r="A109" s="24"/>
      <c r="B109" s="25"/>
      <c r="C109" s="24" t="s">
        <v>38</v>
      </c>
      <c r="D109" s="24" t="s">
        <v>269</v>
      </c>
      <c r="E109" s="24" t="s">
        <v>270</v>
      </c>
      <c r="F109" s="24" t="s">
        <v>7</v>
      </c>
      <c r="G109" s="38">
        <v>0</v>
      </c>
      <c r="H109" s="38">
        <v>-43880</v>
      </c>
      <c r="I109" s="38"/>
      <c r="J109" s="38">
        <f t="shared" si="34"/>
        <v>-43880</v>
      </c>
      <c r="K109" s="24"/>
      <c r="L109" s="24"/>
      <c r="M109" s="38">
        <v>-4943.8975031500013</v>
      </c>
      <c r="N109" s="38"/>
      <c r="O109" s="24"/>
      <c r="P109" s="38">
        <f t="shared" si="47"/>
        <v>-48823.897503150001</v>
      </c>
    </row>
    <row r="110" spans="1:16" s="34" customFormat="1" ht="13.2" x14ac:dyDescent="0.3">
      <c r="A110" s="24"/>
      <c r="B110" s="25"/>
      <c r="C110" s="24" t="s">
        <v>38</v>
      </c>
      <c r="D110" s="24" t="s">
        <v>261</v>
      </c>
      <c r="E110" s="24" t="s">
        <v>262</v>
      </c>
      <c r="F110" s="24" t="s">
        <v>7</v>
      </c>
      <c r="G110" s="38">
        <v>0</v>
      </c>
      <c r="H110" s="38">
        <v>-2528.9996875000006</v>
      </c>
      <c r="I110" s="38"/>
      <c r="J110" s="38">
        <f t="shared" si="34"/>
        <v>-2528.9996875000006</v>
      </c>
      <c r="K110" s="24"/>
      <c r="L110" s="24"/>
      <c r="M110" s="38">
        <v>-704.58691761263981</v>
      </c>
      <c r="N110" s="38"/>
      <c r="O110" s="24"/>
      <c r="P110" s="38">
        <f t="shared" si="47"/>
        <v>-3233.5866051126404</v>
      </c>
    </row>
    <row r="111" spans="1:16" s="34" customFormat="1" ht="13.2" x14ac:dyDescent="0.3">
      <c r="A111" s="24"/>
      <c r="B111" s="25"/>
      <c r="C111" s="24" t="s">
        <v>38</v>
      </c>
      <c r="D111" s="24" t="s">
        <v>313</v>
      </c>
      <c r="E111" s="24" t="s">
        <v>314</v>
      </c>
      <c r="F111" s="24" t="s">
        <v>7</v>
      </c>
      <c r="G111" s="38"/>
      <c r="H111" s="38"/>
      <c r="I111" s="38"/>
      <c r="J111" s="38">
        <f t="shared" si="34"/>
        <v>0</v>
      </c>
      <c r="K111" s="24"/>
      <c r="L111" s="38">
        <v>-930000</v>
      </c>
      <c r="M111" s="38"/>
      <c r="N111" s="38"/>
      <c r="O111" s="24"/>
      <c r="P111" s="38">
        <f t="shared" si="47"/>
        <v>-930000</v>
      </c>
    </row>
    <row r="112" spans="1:16" s="34" customFormat="1" ht="13.2" x14ac:dyDescent="0.3">
      <c r="A112" s="24"/>
      <c r="B112" s="25"/>
      <c r="C112" s="24" t="s">
        <v>32</v>
      </c>
      <c r="D112" s="24" t="s">
        <v>21</v>
      </c>
      <c r="E112" s="24" t="s">
        <v>21</v>
      </c>
      <c r="F112" s="24" t="s">
        <v>7</v>
      </c>
      <c r="G112" s="38">
        <v>-532411.99479662837</v>
      </c>
      <c r="H112" s="38"/>
      <c r="I112" s="38"/>
      <c r="J112" s="38">
        <f t="shared" si="34"/>
        <v>-532411.99479662837</v>
      </c>
      <c r="K112" s="24"/>
      <c r="L112" s="24"/>
      <c r="M112" s="38"/>
      <c r="N112" s="38"/>
      <c r="O112" s="24"/>
      <c r="P112" s="38">
        <f t="shared" si="47"/>
        <v>-532411.99479662837</v>
      </c>
    </row>
    <row r="113" spans="1:16" s="34" customFormat="1" ht="13.2" x14ac:dyDescent="0.3">
      <c r="A113" s="24"/>
      <c r="B113" s="25"/>
      <c r="C113" s="24" t="s">
        <v>51</v>
      </c>
      <c r="D113" s="24" t="s">
        <v>21</v>
      </c>
      <c r="E113" s="24" t="s">
        <v>21</v>
      </c>
      <c r="F113" s="24" t="s">
        <v>8</v>
      </c>
      <c r="G113" s="38">
        <v>-1180.8499215995405</v>
      </c>
      <c r="H113" s="38"/>
      <c r="I113" s="38"/>
      <c r="J113" s="38">
        <f t="shared" si="34"/>
        <v>-1180.8499215995405</v>
      </c>
      <c r="K113" s="24"/>
      <c r="L113" s="24"/>
      <c r="M113" s="38"/>
      <c r="N113" s="38">
        <v>569.94265378906493</v>
      </c>
      <c r="O113" s="24"/>
      <c r="P113" s="38">
        <f t="shared" si="47"/>
        <v>-610.90726781047556</v>
      </c>
    </row>
    <row r="114" spans="1:16" s="34" customFormat="1" ht="26.4" x14ac:dyDescent="0.3">
      <c r="A114" s="24" t="s">
        <v>92</v>
      </c>
      <c r="B114" s="25" t="s">
        <v>93</v>
      </c>
      <c r="C114" s="24" t="s">
        <v>38</v>
      </c>
      <c r="D114" s="24" t="s">
        <v>21</v>
      </c>
      <c r="E114" s="24" t="s">
        <v>21</v>
      </c>
      <c r="F114" s="24" t="s">
        <v>7</v>
      </c>
      <c r="G114" s="38">
        <v>-3868469.2961040726</v>
      </c>
      <c r="H114" s="38"/>
      <c r="I114" s="38">
        <f>17100-150000</f>
        <v>-132900</v>
      </c>
      <c r="J114" s="38">
        <f t="shared" si="34"/>
        <v>-4001369.2961040726</v>
      </c>
      <c r="K114" s="24"/>
      <c r="L114" s="24"/>
      <c r="M114" s="38">
        <v>-209687.00114166515</v>
      </c>
      <c r="N114" s="38">
        <v>53340.333111729829</v>
      </c>
      <c r="O114" s="38">
        <v>60000</v>
      </c>
      <c r="P114" s="38">
        <f t="shared" si="47"/>
        <v>-4097715.9641340082</v>
      </c>
    </row>
    <row r="115" spans="1:16" s="34" customFormat="1" ht="13.2" x14ac:dyDescent="0.3">
      <c r="A115" s="24"/>
      <c r="B115" s="25"/>
      <c r="C115" s="24" t="s">
        <v>38</v>
      </c>
      <c r="D115" s="24" t="s">
        <v>265</v>
      </c>
      <c r="E115" s="24" t="s">
        <v>266</v>
      </c>
      <c r="F115" s="24" t="s">
        <v>7</v>
      </c>
      <c r="G115" s="38">
        <v>0</v>
      </c>
      <c r="H115" s="38">
        <v>-1230000</v>
      </c>
      <c r="I115" s="38"/>
      <c r="J115" s="38">
        <f t="shared" si="34"/>
        <v>-1230000</v>
      </c>
      <c r="K115" s="24"/>
      <c r="L115" s="24"/>
      <c r="M115" s="38">
        <v>132000</v>
      </c>
      <c r="N115" s="38"/>
      <c r="O115" s="24"/>
      <c r="P115" s="38">
        <f t="shared" si="47"/>
        <v>-1098000</v>
      </c>
    </row>
    <row r="116" spans="1:16" s="34" customFormat="1" ht="13.2" x14ac:dyDescent="0.3">
      <c r="A116" s="24"/>
      <c r="B116" s="25"/>
      <c r="C116" s="24" t="s">
        <v>38</v>
      </c>
      <c r="D116" s="24" t="s">
        <v>94</v>
      </c>
      <c r="E116" s="24" t="s">
        <v>95</v>
      </c>
      <c r="F116" s="24" t="s">
        <v>226</v>
      </c>
      <c r="G116" s="38">
        <v>-699999.99999000004</v>
      </c>
      <c r="H116" s="38">
        <v>-104008</v>
      </c>
      <c r="I116" s="38">
        <v>150000</v>
      </c>
      <c r="J116" s="38">
        <f t="shared" si="34"/>
        <v>-654007.99999000004</v>
      </c>
      <c r="K116" s="24"/>
      <c r="L116" s="24"/>
      <c r="M116" s="38">
        <v>96597.139999999956</v>
      </c>
      <c r="N116" s="38"/>
      <c r="O116" s="24"/>
      <c r="P116" s="38">
        <f t="shared" si="47"/>
        <v>-557410.85999000003</v>
      </c>
    </row>
    <row r="117" spans="1:16" s="34" customFormat="1" ht="13.2" x14ac:dyDescent="0.3">
      <c r="A117" s="24"/>
      <c r="B117" s="25"/>
      <c r="C117" s="24" t="s">
        <v>38</v>
      </c>
      <c r="D117" s="24" t="s">
        <v>45</v>
      </c>
      <c r="E117" s="24" t="s">
        <v>46</v>
      </c>
      <c r="F117" s="24" t="s">
        <v>7</v>
      </c>
      <c r="G117" s="38">
        <v>-853427.90915700002</v>
      </c>
      <c r="H117" s="38">
        <v>-3586</v>
      </c>
      <c r="I117" s="38"/>
      <c r="J117" s="38">
        <f t="shared" si="34"/>
        <v>-857013.90915700002</v>
      </c>
      <c r="K117" s="24"/>
      <c r="L117" s="24"/>
      <c r="M117" s="38">
        <v>-1.1234840001561679</v>
      </c>
      <c r="N117" s="38"/>
      <c r="O117" s="24"/>
      <c r="P117" s="38">
        <f t="shared" si="47"/>
        <v>-857015.03264100011</v>
      </c>
    </row>
    <row r="118" spans="1:16" s="34" customFormat="1" ht="13.2" x14ac:dyDescent="0.3">
      <c r="A118" s="24"/>
      <c r="B118" s="25"/>
      <c r="C118" s="24" t="s">
        <v>38</v>
      </c>
      <c r="D118" s="24" t="s">
        <v>47</v>
      </c>
      <c r="E118" s="24" t="s">
        <v>48</v>
      </c>
      <c r="F118" s="24" t="s">
        <v>7</v>
      </c>
      <c r="G118" s="38">
        <v>-8872.4103326749446</v>
      </c>
      <c r="H118" s="38"/>
      <c r="I118" s="38"/>
      <c r="J118" s="38">
        <f t="shared" si="34"/>
        <v>-8872.4103326749446</v>
      </c>
      <c r="K118" s="24"/>
      <c r="L118" s="24"/>
      <c r="M118" s="38">
        <v>-21938.1739546838</v>
      </c>
      <c r="N118" s="38"/>
      <c r="O118" s="24"/>
      <c r="P118" s="38">
        <f t="shared" si="47"/>
        <v>-30810.584287358746</v>
      </c>
    </row>
    <row r="119" spans="1:16" s="34" customFormat="1" ht="13.2" x14ac:dyDescent="0.3">
      <c r="A119" s="24"/>
      <c r="B119" s="25"/>
      <c r="C119" s="24" t="s">
        <v>38</v>
      </c>
      <c r="D119" s="24" t="s">
        <v>259</v>
      </c>
      <c r="E119" s="24" t="s">
        <v>260</v>
      </c>
      <c r="F119" s="24" t="s">
        <v>7</v>
      </c>
      <c r="G119" s="38">
        <v>0</v>
      </c>
      <c r="H119" s="38">
        <v>-255582.99999000004</v>
      </c>
      <c r="I119" s="38"/>
      <c r="J119" s="38">
        <f t="shared" si="34"/>
        <v>-255582.99999000004</v>
      </c>
      <c r="K119" s="24"/>
      <c r="L119" s="24"/>
      <c r="M119" s="38">
        <v>24726.479989999993</v>
      </c>
      <c r="N119" s="38"/>
      <c r="O119" s="24"/>
      <c r="P119" s="38">
        <f t="shared" si="47"/>
        <v>-230856.52000000005</v>
      </c>
    </row>
    <row r="120" spans="1:16" s="34" customFormat="1" ht="13.2" x14ac:dyDescent="0.3">
      <c r="A120" s="24"/>
      <c r="B120" s="25"/>
      <c r="C120" s="24" t="s">
        <v>38</v>
      </c>
      <c r="D120" s="24" t="s">
        <v>269</v>
      </c>
      <c r="E120" s="24" t="s">
        <v>270</v>
      </c>
      <c r="F120" s="24" t="s">
        <v>7</v>
      </c>
      <c r="G120" s="38">
        <v>0</v>
      </c>
      <c r="H120" s="38">
        <v>-254427</v>
      </c>
      <c r="I120" s="38"/>
      <c r="J120" s="38">
        <f t="shared" si="34"/>
        <v>-254427</v>
      </c>
      <c r="K120" s="24"/>
      <c r="L120" s="24"/>
      <c r="M120" s="38">
        <v>-106742.10251684999</v>
      </c>
      <c r="N120" s="38"/>
      <c r="O120" s="24"/>
      <c r="P120" s="38">
        <f t="shared" si="47"/>
        <v>-361169.10251684999</v>
      </c>
    </row>
    <row r="121" spans="1:16" s="34" customFormat="1" ht="13.2" x14ac:dyDescent="0.3">
      <c r="A121" s="24"/>
      <c r="B121" s="25"/>
      <c r="C121" s="24" t="s">
        <v>38</v>
      </c>
      <c r="D121" s="24" t="s">
        <v>261</v>
      </c>
      <c r="E121" s="24" t="s">
        <v>262</v>
      </c>
      <c r="F121" s="24" t="s">
        <v>7</v>
      </c>
      <c r="G121" s="38">
        <v>0</v>
      </c>
      <c r="H121" s="38">
        <v>-782553.05189024995</v>
      </c>
      <c r="I121" s="38"/>
      <c r="J121" s="38">
        <f t="shared" si="34"/>
        <v>-782553.05189024995</v>
      </c>
      <c r="K121" s="24"/>
      <c r="L121" s="24"/>
      <c r="M121" s="38">
        <v>302297.69030237332</v>
      </c>
      <c r="N121" s="38"/>
      <c r="O121" s="24"/>
      <c r="P121" s="38">
        <f t="shared" si="47"/>
        <v>-480255.36158787663</v>
      </c>
    </row>
    <row r="122" spans="1:16" s="34" customFormat="1" ht="13.2" x14ac:dyDescent="0.3">
      <c r="A122" s="24"/>
      <c r="B122" s="25"/>
      <c r="C122" s="24" t="s">
        <v>38</v>
      </c>
      <c r="D122" s="24" t="s">
        <v>313</v>
      </c>
      <c r="E122" s="24" t="s">
        <v>314</v>
      </c>
      <c r="F122" s="24" t="s">
        <v>7</v>
      </c>
      <c r="G122" s="38"/>
      <c r="H122" s="38"/>
      <c r="I122" s="38"/>
      <c r="J122" s="38">
        <f t="shared" ref="J122" si="49">+G122+H122+I122</f>
        <v>0</v>
      </c>
      <c r="K122" s="24"/>
      <c r="L122" s="38">
        <f>(-2500*7)-689353</f>
        <v>-706853</v>
      </c>
      <c r="M122" s="38"/>
      <c r="N122" s="38"/>
      <c r="O122" s="24"/>
      <c r="P122" s="38">
        <f t="shared" si="47"/>
        <v>-706853</v>
      </c>
    </row>
    <row r="123" spans="1:16" s="34" customFormat="1" ht="13.2" x14ac:dyDescent="0.3">
      <c r="A123" s="24"/>
      <c r="B123" s="25"/>
      <c r="C123" s="24" t="s">
        <v>96</v>
      </c>
      <c r="D123" s="24" t="s">
        <v>21</v>
      </c>
      <c r="E123" s="24" t="s">
        <v>21</v>
      </c>
      <c r="F123" s="24" t="s">
        <v>233</v>
      </c>
      <c r="G123" s="38">
        <v>-4487347.9999999991</v>
      </c>
      <c r="H123" s="38"/>
      <c r="I123" s="38"/>
      <c r="J123" s="38">
        <f t="shared" si="34"/>
        <v>-4487347.9999999991</v>
      </c>
      <c r="K123" s="24"/>
      <c r="L123" s="24"/>
      <c r="N123" s="38"/>
      <c r="O123" s="24"/>
      <c r="P123" s="38">
        <f t="shared" si="47"/>
        <v>-4487347.9999999991</v>
      </c>
    </row>
    <row r="124" spans="1:16" s="34" customFormat="1" ht="13.2" x14ac:dyDescent="0.3">
      <c r="A124" s="24"/>
      <c r="B124" s="25"/>
      <c r="C124" s="24" t="s">
        <v>96</v>
      </c>
      <c r="D124" s="24" t="s">
        <v>87</v>
      </c>
      <c r="E124" s="24" t="s">
        <v>88</v>
      </c>
      <c r="F124" s="24" t="s">
        <v>232</v>
      </c>
      <c r="G124" s="38">
        <v>-3428571.4285714291</v>
      </c>
      <c r="H124" s="38"/>
      <c r="I124" s="38"/>
      <c r="J124" s="38">
        <f t="shared" si="34"/>
        <v>-3428571.4285714291</v>
      </c>
      <c r="K124" s="24"/>
      <c r="L124" s="24"/>
      <c r="M124" s="38"/>
      <c r="N124" s="38"/>
      <c r="O124" s="24"/>
      <c r="P124" s="38">
        <f t="shared" si="47"/>
        <v>-3428571.4285714291</v>
      </c>
    </row>
    <row r="125" spans="1:16" s="34" customFormat="1" ht="13.2" x14ac:dyDescent="0.3">
      <c r="A125" s="24"/>
      <c r="B125" s="25"/>
      <c r="C125" s="24" t="s">
        <v>96</v>
      </c>
      <c r="D125" s="24" t="s">
        <v>97</v>
      </c>
      <c r="E125" s="24" t="s">
        <v>98</v>
      </c>
      <c r="F125" s="24" t="s">
        <v>99</v>
      </c>
      <c r="G125" s="38">
        <v>-530828.62764705904</v>
      </c>
      <c r="H125" s="38"/>
      <c r="I125" s="38"/>
      <c r="J125" s="38">
        <f t="shared" si="34"/>
        <v>-530828.62764705904</v>
      </c>
      <c r="K125" s="24"/>
      <c r="L125" s="24"/>
      <c r="M125" s="38"/>
      <c r="N125" s="38"/>
      <c r="O125" s="24"/>
      <c r="P125" s="38">
        <f t="shared" si="47"/>
        <v>-530828.62764705904</v>
      </c>
    </row>
    <row r="126" spans="1:16" s="34" customFormat="1" ht="13.2" x14ac:dyDescent="0.3">
      <c r="A126" s="24"/>
      <c r="B126" s="25"/>
      <c r="C126" s="24" t="s">
        <v>32</v>
      </c>
      <c r="D126" s="24" t="s">
        <v>21</v>
      </c>
      <c r="E126" s="24" t="s">
        <v>21</v>
      </c>
      <c r="F126" s="24" t="s">
        <v>7</v>
      </c>
      <c r="G126" s="38">
        <v>-2040004.4937880635</v>
      </c>
      <c r="H126" s="38"/>
      <c r="I126" s="38"/>
      <c r="J126" s="38">
        <f t="shared" si="34"/>
        <v>-2040004.4937880635</v>
      </c>
      <c r="K126" s="24"/>
      <c r="L126" s="24"/>
      <c r="M126" s="38"/>
      <c r="N126" s="38"/>
      <c r="O126" s="24"/>
      <c r="P126" s="38">
        <f t="shared" si="47"/>
        <v>-2040004.4937880635</v>
      </c>
    </row>
    <row r="127" spans="1:16" s="34" customFormat="1" ht="13.2" x14ac:dyDescent="0.3">
      <c r="A127" s="24"/>
      <c r="B127" s="25"/>
      <c r="C127" s="24" t="s">
        <v>35</v>
      </c>
      <c r="D127" s="24" t="s">
        <v>21</v>
      </c>
      <c r="E127" s="24" t="s">
        <v>21</v>
      </c>
      <c r="F127" s="24" t="s">
        <v>233</v>
      </c>
      <c r="G127" s="38">
        <v>-25482760.997959998</v>
      </c>
      <c r="H127" s="38"/>
      <c r="I127" s="38"/>
      <c r="J127" s="38">
        <f t="shared" si="34"/>
        <v>-25482760.997959998</v>
      </c>
      <c r="K127" s="24"/>
      <c r="L127" s="24"/>
      <c r="M127" s="38"/>
      <c r="N127" s="38"/>
      <c r="O127" s="24"/>
      <c r="P127" s="38">
        <f t="shared" si="47"/>
        <v>-25482760.997959998</v>
      </c>
    </row>
    <row r="128" spans="1:16" s="34" customFormat="1" ht="13.2" x14ac:dyDescent="0.3">
      <c r="A128" s="24"/>
      <c r="B128" s="25"/>
      <c r="C128" s="24" t="s">
        <v>35</v>
      </c>
      <c r="D128" s="24" t="s">
        <v>87</v>
      </c>
      <c r="E128" s="24" t="s">
        <v>88</v>
      </c>
      <c r="F128" s="24" t="s">
        <v>232</v>
      </c>
      <c r="G128" s="38">
        <v>-11498096.997960001</v>
      </c>
      <c r="H128" s="38"/>
      <c r="I128" s="38"/>
      <c r="J128" s="38">
        <f t="shared" ref="J128:J214" si="50">+G128+H128+I128</f>
        <v>-11498096.997960001</v>
      </c>
      <c r="K128" s="24"/>
      <c r="L128" s="24"/>
      <c r="M128" s="38"/>
      <c r="N128" s="38"/>
      <c r="O128" s="24"/>
      <c r="P128" s="38">
        <f t="shared" si="47"/>
        <v>-11498096.997960001</v>
      </c>
    </row>
    <row r="129" spans="1:16" s="34" customFormat="1" ht="13.2" x14ac:dyDescent="0.3">
      <c r="A129" s="24"/>
      <c r="B129" s="25"/>
      <c r="C129" s="24" t="s">
        <v>35</v>
      </c>
      <c r="D129" s="24" t="s">
        <v>97</v>
      </c>
      <c r="E129" s="24" t="s">
        <v>98</v>
      </c>
      <c r="F129" s="24" t="s">
        <v>99</v>
      </c>
      <c r="G129" s="38">
        <v>-3008028.89</v>
      </c>
      <c r="H129" s="38"/>
      <c r="I129" s="38"/>
      <c r="J129" s="38">
        <f t="shared" si="50"/>
        <v>-3008028.89</v>
      </c>
      <c r="K129" s="24"/>
      <c r="L129" s="24"/>
      <c r="M129" s="38"/>
      <c r="N129" s="38"/>
      <c r="O129" s="24"/>
      <c r="P129" s="38">
        <f t="shared" si="47"/>
        <v>-3008028.89</v>
      </c>
    </row>
    <row r="130" spans="1:16" s="34" customFormat="1" ht="13.2" x14ac:dyDescent="0.3">
      <c r="A130" s="24"/>
      <c r="B130" s="25"/>
      <c r="C130" s="24" t="s">
        <v>51</v>
      </c>
      <c r="D130" s="24" t="s">
        <v>21</v>
      </c>
      <c r="E130" s="24" t="s">
        <v>21</v>
      </c>
      <c r="F130" s="24" t="s">
        <v>8</v>
      </c>
      <c r="G130" s="38">
        <v>-19287.72120983377</v>
      </c>
      <c r="H130" s="38"/>
      <c r="I130" s="38"/>
      <c r="J130" s="38">
        <f t="shared" si="50"/>
        <v>-19287.72120983377</v>
      </c>
      <c r="K130" s="24"/>
      <c r="L130" s="24"/>
      <c r="M130" s="38"/>
      <c r="N130" s="38">
        <v>4540.845026780712</v>
      </c>
      <c r="O130" s="24"/>
      <c r="P130" s="38">
        <f t="shared" si="47"/>
        <v>-14746.876183053057</v>
      </c>
    </row>
    <row r="131" spans="1:16" s="34" customFormat="1" ht="26.4" x14ac:dyDescent="0.3">
      <c r="A131" s="24" t="s">
        <v>100</v>
      </c>
      <c r="B131" s="25" t="s">
        <v>101</v>
      </c>
      <c r="C131" s="24" t="s">
        <v>38</v>
      </c>
      <c r="D131" s="24" t="s">
        <v>21</v>
      </c>
      <c r="E131" s="24" t="s">
        <v>21</v>
      </c>
      <c r="F131" s="24" t="s">
        <v>7</v>
      </c>
      <c r="G131" s="38">
        <v>-406607.27613020374</v>
      </c>
      <c r="H131" s="38"/>
      <c r="I131" s="38"/>
      <c r="J131" s="38">
        <f t="shared" si="50"/>
        <v>-406607.27613020374</v>
      </c>
      <c r="K131" s="24"/>
      <c r="L131" s="24"/>
      <c r="M131" s="38">
        <v>-64885.438079442014</v>
      </c>
      <c r="N131" s="38">
        <v>8632.1530510732337</v>
      </c>
      <c r="O131" s="24"/>
      <c r="P131" s="38">
        <f t="shared" si="47"/>
        <v>-462860.5611585725</v>
      </c>
    </row>
    <row r="132" spans="1:16" s="34" customFormat="1" ht="13.2" x14ac:dyDescent="0.3">
      <c r="A132" s="24"/>
      <c r="B132" s="25"/>
      <c r="C132" s="24" t="s">
        <v>38</v>
      </c>
      <c r="D132" s="24" t="s">
        <v>45</v>
      </c>
      <c r="E132" s="24" t="s">
        <v>46</v>
      </c>
      <c r="F132" s="24" t="s">
        <v>7</v>
      </c>
      <c r="G132" s="38">
        <v>-3037.109997</v>
      </c>
      <c r="H132" s="38">
        <v>-13</v>
      </c>
      <c r="I132" s="38"/>
      <c r="J132" s="38">
        <f t="shared" si="50"/>
        <v>-3050.109997</v>
      </c>
      <c r="K132" s="24"/>
      <c r="L132" s="24"/>
      <c r="M132" s="38"/>
      <c r="N132" s="38"/>
      <c r="O132" s="24"/>
      <c r="P132" s="38">
        <f t="shared" si="47"/>
        <v>-3050.109997</v>
      </c>
    </row>
    <row r="133" spans="1:16" s="34" customFormat="1" ht="13.2" x14ac:dyDescent="0.3">
      <c r="A133" s="24"/>
      <c r="B133" s="25"/>
      <c r="C133" s="24" t="s">
        <v>38</v>
      </c>
      <c r="D133" s="24" t="s">
        <v>47</v>
      </c>
      <c r="E133" s="24" t="s">
        <v>48</v>
      </c>
      <c r="F133" s="24" t="s">
        <v>7</v>
      </c>
      <c r="G133" s="38">
        <v>-746.70862068324152</v>
      </c>
      <c r="H133" s="38"/>
      <c r="I133" s="38"/>
      <c r="J133" s="38">
        <f t="shared" si="50"/>
        <v>-746.70862068324152</v>
      </c>
      <c r="K133" s="24"/>
      <c r="L133" s="24"/>
      <c r="M133" s="38">
        <v>-91</v>
      </c>
      <c r="N133" s="38"/>
      <c r="O133" s="24"/>
      <c r="P133" s="38">
        <f t="shared" si="47"/>
        <v>-837.70862068324152</v>
      </c>
    </row>
    <row r="134" spans="1:16" s="34" customFormat="1" ht="13.2" x14ac:dyDescent="0.3">
      <c r="A134" s="24"/>
      <c r="B134" s="25"/>
      <c r="C134" s="24" t="s">
        <v>38</v>
      </c>
      <c r="D134" s="24" t="s">
        <v>259</v>
      </c>
      <c r="E134" s="24" t="s">
        <v>260</v>
      </c>
      <c r="F134" s="24" t="s">
        <v>7</v>
      </c>
      <c r="G134" s="38">
        <v>0</v>
      </c>
      <c r="H134" s="38">
        <v>-454417</v>
      </c>
      <c r="I134" s="38"/>
      <c r="J134" s="38">
        <f t="shared" si="50"/>
        <v>-454417</v>
      </c>
      <c r="K134" s="24"/>
      <c r="L134" s="24"/>
      <c r="M134" s="38">
        <v>32024.020000000019</v>
      </c>
      <c r="N134" s="38"/>
      <c r="O134" s="24"/>
      <c r="P134" s="38">
        <f t="shared" si="47"/>
        <v>-422392.98</v>
      </c>
    </row>
    <row r="135" spans="1:16" s="34" customFormat="1" ht="13.2" x14ac:dyDescent="0.3">
      <c r="A135" s="24"/>
      <c r="B135" s="25"/>
      <c r="C135" s="24" t="s">
        <v>38</v>
      </c>
      <c r="D135" s="24" t="s">
        <v>269</v>
      </c>
      <c r="E135" s="24" t="s">
        <v>270</v>
      </c>
      <c r="F135" s="24" t="s">
        <v>7</v>
      </c>
      <c r="G135" s="38">
        <v>0</v>
      </c>
      <c r="H135" s="38">
        <v>-577858</v>
      </c>
      <c r="I135" s="38"/>
      <c r="J135" s="38">
        <f t="shared" si="50"/>
        <v>-577858</v>
      </c>
      <c r="K135" s="24"/>
      <c r="L135" s="24"/>
      <c r="M135" s="38">
        <v>73649.349999999977</v>
      </c>
      <c r="N135" s="38"/>
      <c r="O135" s="24"/>
      <c r="P135" s="38">
        <f t="shared" si="47"/>
        <v>-504208.65</v>
      </c>
    </row>
    <row r="136" spans="1:16" s="34" customFormat="1" ht="13.2" x14ac:dyDescent="0.3">
      <c r="A136" s="24"/>
      <c r="B136" s="25"/>
      <c r="C136" s="24" t="s">
        <v>38</v>
      </c>
      <c r="D136" s="24" t="s">
        <v>261</v>
      </c>
      <c r="E136" s="24" t="s">
        <v>262</v>
      </c>
      <c r="F136" s="24" t="s">
        <v>7</v>
      </c>
      <c r="G136" s="38">
        <v>0</v>
      </c>
      <c r="H136" s="38">
        <v>-3541.6485287499977</v>
      </c>
      <c r="I136" s="38"/>
      <c r="J136" s="38">
        <f t="shared" si="50"/>
        <v>-3541.6485287499977</v>
      </c>
      <c r="K136" s="24"/>
      <c r="L136" s="24"/>
      <c r="M136" s="38">
        <v>-1723.8494276509305</v>
      </c>
      <c r="N136" s="38"/>
      <c r="O136" s="24"/>
      <c r="P136" s="38">
        <f t="shared" si="47"/>
        <v>-5265.4979564009282</v>
      </c>
    </row>
    <row r="137" spans="1:16" s="34" customFormat="1" ht="13.2" x14ac:dyDescent="0.3">
      <c r="A137" s="24"/>
      <c r="B137" s="25"/>
      <c r="C137" s="24" t="s">
        <v>38</v>
      </c>
      <c r="D137" s="24" t="s">
        <v>313</v>
      </c>
      <c r="E137" s="24" t="s">
        <v>314</v>
      </c>
      <c r="F137" s="24" t="s">
        <v>7</v>
      </c>
      <c r="G137" s="38"/>
      <c r="H137" s="38"/>
      <c r="I137" s="38"/>
      <c r="J137" s="38">
        <f t="shared" si="50"/>
        <v>0</v>
      </c>
      <c r="K137" s="24"/>
      <c r="L137" s="38">
        <f>-2500*1</f>
        <v>-2500</v>
      </c>
      <c r="M137" s="38"/>
      <c r="N137" s="38"/>
      <c r="O137" s="24"/>
      <c r="P137" s="38">
        <f t="shared" si="47"/>
        <v>-2500</v>
      </c>
    </row>
    <row r="138" spans="1:16" s="34" customFormat="1" ht="13.2" x14ac:dyDescent="0.3">
      <c r="A138" s="24"/>
      <c r="B138" s="25"/>
      <c r="C138" s="24" t="s">
        <v>32</v>
      </c>
      <c r="D138" s="24" t="s">
        <v>21</v>
      </c>
      <c r="E138" s="24" t="s">
        <v>21</v>
      </c>
      <c r="F138" s="24" t="s">
        <v>7</v>
      </c>
      <c r="G138" s="38">
        <v>-453976.90834137937</v>
      </c>
      <c r="H138" s="38"/>
      <c r="I138" s="38"/>
      <c r="J138" s="38">
        <f t="shared" si="50"/>
        <v>-453976.90834137937</v>
      </c>
      <c r="K138" s="24"/>
      <c r="L138" s="24"/>
      <c r="M138" s="38"/>
      <c r="N138" s="38"/>
      <c r="O138" s="24"/>
      <c r="P138" s="38">
        <f t="shared" si="47"/>
        <v>-453976.90834137937</v>
      </c>
    </row>
    <row r="139" spans="1:16" s="34" customFormat="1" ht="13.2" x14ac:dyDescent="0.3">
      <c r="A139" s="24"/>
      <c r="B139" s="25"/>
      <c r="C139" s="24" t="s">
        <v>51</v>
      </c>
      <c r="D139" s="24" t="s">
        <v>21</v>
      </c>
      <c r="E139" s="24" t="s">
        <v>21</v>
      </c>
      <c r="F139" s="24" t="s">
        <v>8</v>
      </c>
      <c r="G139" s="38">
        <v>-2028.898805418391</v>
      </c>
      <c r="H139" s="38"/>
      <c r="I139" s="38"/>
      <c r="J139" s="38">
        <f t="shared" si="50"/>
        <v>-2028.898805418391</v>
      </c>
      <c r="K139" s="24"/>
      <c r="L139" s="24"/>
      <c r="M139" s="38"/>
      <c r="N139" s="38">
        <v>972.15070969662406</v>
      </c>
      <c r="O139" s="24"/>
      <c r="P139" s="38">
        <f t="shared" si="47"/>
        <v>-1056.748095721767</v>
      </c>
    </row>
    <row r="140" spans="1:16" s="34" customFormat="1" ht="39.6" x14ac:dyDescent="0.3">
      <c r="A140" s="24" t="s">
        <v>102</v>
      </c>
      <c r="B140" s="41" t="s">
        <v>287</v>
      </c>
      <c r="C140" s="24" t="s">
        <v>38</v>
      </c>
      <c r="D140" s="24" t="s">
        <v>21</v>
      </c>
      <c r="E140" s="24" t="s">
        <v>21</v>
      </c>
      <c r="F140" s="24" t="s">
        <v>7</v>
      </c>
      <c r="G140" s="38">
        <v>-91843.709950435601</v>
      </c>
      <c r="H140" s="38"/>
      <c r="I140" s="38"/>
      <c r="J140" s="38">
        <f t="shared" si="50"/>
        <v>-91843.709950435601</v>
      </c>
      <c r="K140" s="24"/>
      <c r="L140" s="24"/>
      <c r="M140" s="38">
        <v>-17192.380180303015</v>
      </c>
      <c r="N140" s="38">
        <v>5022.0741217602763</v>
      </c>
      <c r="O140" s="24"/>
      <c r="P140" s="38">
        <f t="shared" si="47"/>
        <v>-104014.01600897835</v>
      </c>
    </row>
    <row r="141" spans="1:16" s="34" customFormat="1" ht="13.2" x14ac:dyDescent="0.3">
      <c r="A141" s="24"/>
      <c r="B141" s="25"/>
      <c r="C141" s="24" t="s">
        <v>38</v>
      </c>
      <c r="D141" s="24" t="s">
        <v>47</v>
      </c>
      <c r="E141" s="24" t="s">
        <v>48</v>
      </c>
      <c r="F141" s="24" t="s">
        <v>7</v>
      </c>
      <c r="G141" s="38">
        <v>-755.38353877500822</v>
      </c>
      <c r="H141" s="38"/>
      <c r="I141" s="38"/>
      <c r="J141" s="38">
        <f t="shared" si="50"/>
        <v>-755.38353877500822</v>
      </c>
      <c r="K141" s="24"/>
      <c r="L141" s="24"/>
      <c r="M141" s="38">
        <v>-114</v>
      </c>
      <c r="N141" s="38"/>
      <c r="O141" s="24"/>
      <c r="P141" s="38">
        <f t="shared" si="47"/>
        <v>-869.38353877500822</v>
      </c>
    </row>
    <row r="142" spans="1:16" s="34" customFormat="1" ht="13.2" x14ac:dyDescent="0.3">
      <c r="A142" s="24"/>
      <c r="B142" s="25"/>
      <c r="C142" s="24" t="s">
        <v>38</v>
      </c>
      <c r="D142" s="24" t="s">
        <v>269</v>
      </c>
      <c r="E142" s="24" t="s">
        <v>270</v>
      </c>
      <c r="F142" s="24" t="s">
        <v>7</v>
      </c>
      <c r="G142" s="38">
        <v>0</v>
      </c>
      <c r="H142" s="38">
        <v>-183612</v>
      </c>
      <c r="I142" s="38"/>
      <c r="J142" s="38">
        <f t="shared" si="50"/>
        <v>-183612</v>
      </c>
      <c r="K142" s="24"/>
      <c r="L142" s="24"/>
      <c r="M142" s="38">
        <v>138402.02000000014</v>
      </c>
      <c r="N142" s="38"/>
      <c r="O142" s="24"/>
      <c r="P142" s="38">
        <f t="shared" si="47"/>
        <v>-45209.979999999865</v>
      </c>
    </row>
    <row r="143" spans="1:16" s="34" customFormat="1" ht="13.2" x14ac:dyDescent="0.3">
      <c r="A143" s="24"/>
      <c r="B143" s="25"/>
      <c r="C143" s="24" t="s">
        <v>38</v>
      </c>
      <c r="D143" s="24" t="s">
        <v>261</v>
      </c>
      <c r="E143" s="24" t="s">
        <v>262</v>
      </c>
      <c r="F143" s="24" t="s">
        <v>7</v>
      </c>
      <c r="G143" s="38">
        <v>0</v>
      </c>
      <c r="H143" s="38">
        <v>-1457.1436587500002</v>
      </c>
      <c r="I143" s="38"/>
      <c r="J143" s="38">
        <f t="shared" si="50"/>
        <v>-1457.1436587500002</v>
      </c>
      <c r="K143" s="24"/>
      <c r="L143" s="24"/>
      <c r="M143" s="38">
        <v>-499.39155458235996</v>
      </c>
      <c r="N143" s="38"/>
      <c r="O143" s="24"/>
      <c r="P143" s="38">
        <f t="shared" si="47"/>
        <v>-1956.5352133323602</v>
      </c>
    </row>
    <row r="144" spans="1:16" s="34" customFormat="1" ht="13.2" x14ac:dyDescent="0.3">
      <c r="A144" s="24"/>
      <c r="B144" s="25"/>
      <c r="C144" s="24" t="s">
        <v>38</v>
      </c>
      <c r="D144" s="24" t="s">
        <v>313</v>
      </c>
      <c r="E144" s="24" t="s">
        <v>314</v>
      </c>
      <c r="F144" s="24" t="s">
        <v>7</v>
      </c>
      <c r="G144" s="38"/>
      <c r="H144" s="38"/>
      <c r="I144" s="38"/>
      <c r="J144" s="38">
        <f t="shared" ref="J144" si="51">+G144+H144+I144</f>
        <v>0</v>
      </c>
      <c r="K144" s="24"/>
      <c r="L144" s="38">
        <f>-2500*1</f>
        <v>-2500</v>
      </c>
      <c r="M144" s="38"/>
      <c r="N144" s="38"/>
      <c r="O144" s="24"/>
      <c r="P144" s="38">
        <f t="shared" si="47"/>
        <v>-2500</v>
      </c>
    </row>
    <row r="145" spans="1:16" s="34" customFormat="1" ht="13.2" x14ac:dyDescent="0.3">
      <c r="A145" s="24"/>
      <c r="B145" s="25"/>
      <c r="C145" s="24" t="s">
        <v>32</v>
      </c>
      <c r="D145" s="24" t="s">
        <v>21</v>
      </c>
      <c r="E145" s="24" t="s">
        <v>21</v>
      </c>
      <c r="F145" s="24" t="s">
        <v>7</v>
      </c>
      <c r="G145" s="38">
        <v>-10879.455129429618</v>
      </c>
      <c r="H145" s="38"/>
      <c r="I145" s="38"/>
      <c r="J145" s="38">
        <f t="shared" si="50"/>
        <v>-10879.455129429618</v>
      </c>
      <c r="K145" s="24"/>
      <c r="L145" s="24"/>
      <c r="M145" s="38"/>
      <c r="N145" s="38"/>
      <c r="O145" s="24"/>
      <c r="P145" s="38">
        <f t="shared" si="47"/>
        <v>-10879.455129429618</v>
      </c>
    </row>
    <row r="146" spans="1:16" s="34" customFormat="1" ht="13.2" x14ac:dyDescent="0.3">
      <c r="A146" s="24"/>
      <c r="B146" s="25"/>
      <c r="C146" s="24" t="s">
        <v>51</v>
      </c>
      <c r="D146" s="24" t="s">
        <v>21</v>
      </c>
      <c r="E146" s="24" t="s">
        <v>21</v>
      </c>
      <c r="F146" s="24" t="s">
        <v>8</v>
      </c>
      <c r="G146" s="38">
        <v>-417.8795649934118</v>
      </c>
      <c r="H146" s="38"/>
      <c r="I146" s="38"/>
      <c r="J146" s="38">
        <f t="shared" si="50"/>
        <v>-417.8795649934118</v>
      </c>
      <c r="K146" s="24"/>
      <c r="L146" s="24"/>
      <c r="M146" s="38"/>
      <c r="N146" s="38">
        <v>198.42162971111995</v>
      </c>
      <c r="O146" s="24"/>
      <c r="P146" s="38">
        <f t="shared" si="47"/>
        <v>-219.45793528229186</v>
      </c>
    </row>
    <row r="147" spans="1:16" s="34" customFormat="1" ht="13.2" x14ac:dyDescent="0.3">
      <c r="A147" s="24" t="s">
        <v>103</v>
      </c>
      <c r="B147" s="25" t="s">
        <v>104</v>
      </c>
      <c r="C147" s="24" t="s">
        <v>38</v>
      </c>
      <c r="D147" s="24" t="s">
        <v>21</v>
      </c>
      <c r="E147" s="24" t="s">
        <v>21</v>
      </c>
      <c r="F147" s="24" t="s">
        <v>7</v>
      </c>
      <c r="G147" s="38">
        <v>-28391.082727981608</v>
      </c>
      <c r="H147" s="38"/>
      <c r="I147" s="38"/>
      <c r="J147" s="38">
        <f t="shared" si="50"/>
        <v>-28391.082727981608</v>
      </c>
      <c r="K147" s="24"/>
      <c r="L147" s="24"/>
      <c r="M147" s="38">
        <v>-9827.4030457239096</v>
      </c>
      <c r="N147" s="38">
        <v>2814.7705336927825</v>
      </c>
      <c r="O147" s="24"/>
      <c r="P147" s="38">
        <f t="shared" si="47"/>
        <v>-35403.715240012731</v>
      </c>
    </row>
    <row r="148" spans="1:16" s="34" customFormat="1" ht="13.2" x14ac:dyDescent="0.3">
      <c r="A148" s="24"/>
      <c r="B148" s="25"/>
      <c r="C148" s="24" t="s">
        <v>38</v>
      </c>
      <c r="D148" s="24" t="s">
        <v>47</v>
      </c>
      <c r="E148" s="24" t="s">
        <v>48</v>
      </c>
      <c r="F148" s="24" t="s">
        <v>7</v>
      </c>
      <c r="G148" s="38">
        <v>-225.28187646878192</v>
      </c>
      <c r="H148" s="38"/>
      <c r="I148" s="38"/>
      <c r="J148" s="38">
        <f t="shared" si="50"/>
        <v>-225.28187646878192</v>
      </c>
      <c r="K148" s="24"/>
      <c r="L148" s="24"/>
      <c r="M148" s="38">
        <v>-22.65679926791605</v>
      </c>
      <c r="N148" s="38"/>
      <c r="O148" s="24"/>
      <c r="P148" s="38">
        <f t="shared" si="47"/>
        <v>-247.93867573669797</v>
      </c>
    </row>
    <row r="149" spans="1:16" s="34" customFormat="1" ht="13.2" x14ac:dyDescent="0.3">
      <c r="A149" s="24"/>
      <c r="B149" s="25"/>
      <c r="C149" s="24" t="s">
        <v>32</v>
      </c>
      <c r="D149" s="24" t="s">
        <v>21</v>
      </c>
      <c r="E149" s="24" t="s">
        <v>21</v>
      </c>
      <c r="F149" s="24" t="s">
        <v>7</v>
      </c>
      <c r="G149" s="38">
        <v>-336.8531801757166</v>
      </c>
      <c r="H149" s="38"/>
      <c r="I149" s="38"/>
      <c r="J149" s="38">
        <f t="shared" si="50"/>
        <v>-336.8531801757166</v>
      </c>
      <c r="K149" s="24"/>
      <c r="L149" s="24"/>
      <c r="M149" s="38"/>
      <c r="N149" s="38"/>
      <c r="O149" s="24"/>
      <c r="P149" s="38">
        <f t="shared" si="47"/>
        <v>-336.8531801757166</v>
      </c>
    </row>
    <row r="150" spans="1:16" s="34" customFormat="1" ht="13.2" x14ac:dyDescent="0.3">
      <c r="A150" s="24"/>
      <c r="B150" s="25"/>
      <c r="C150" s="24" t="s">
        <v>51</v>
      </c>
      <c r="D150" s="24" t="s">
        <v>21</v>
      </c>
      <c r="E150" s="24" t="s">
        <v>21</v>
      </c>
      <c r="F150" s="24" t="s">
        <v>8</v>
      </c>
      <c r="G150" s="38">
        <v>-753.37235925533901</v>
      </c>
      <c r="H150" s="38"/>
      <c r="I150" s="38"/>
      <c r="J150" s="38">
        <f t="shared" si="50"/>
        <v>-753.37235925533901</v>
      </c>
      <c r="K150" s="24"/>
      <c r="L150" s="24"/>
      <c r="M150" s="38"/>
      <c r="N150" s="38">
        <v>401.55961218093597</v>
      </c>
      <c r="O150" s="24"/>
      <c r="P150" s="38">
        <f t="shared" si="47"/>
        <v>-351.81274707440303</v>
      </c>
    </row>
    <row r="151" spans="1:16" s="34" customFormat="1" ht="13.2" x14ac:dyDescent="0.3">
      <c r="A151" s="24" t="s">
        <v>105</v>
      </c>
      <c r="B151" s="25" t="s">
        <v>106</v>
      </c>
      <c r="C151" s="24" t="s">
        <v>38</v>
      </c>
      <c r="D151" s="24" t="s">
        <v>21</v>
      </c>
      <c r="E151" s="24" t="s">
        <v>21</v>
      </c>
      <c r="F151" s="24" t="s">
        <v>7</v>
      </c>
      <c r="G151" s="38">
        <v>-2590521.8447229452</v>
      </c>
      <c r="H151" s="38"/>
      <c r="I151" s="38"/>
      <c r="J151" s="38">
        <f t="shared" si="50"/>
        <v>-2590521.8447229452</v>
      </c>
      <c r="K151" s="24"/>
      <c r="L151" s="24"/>
      <c r="M151" s="38">
        <v>-219560.53725113813</v>
      </c>
      <c r="N151" s="38">
        <v>935762.2976882332</v>
      </c>
      <c r="O151" s="24"/>
      <c r="P151" s="38">
        <f t="shared" si="47"/>
        <v>-1874320.0842858502</v>
      </c>
    </row>
    <row r="152" spans="1:16" s="34" customFormat="1" ht="13.2" x14ac:dyDescent="0.3">
      <c r="A152" s="24"/>
      <c r="B152" s="25"/>
      <c r="C152" s="24" t="s">
        <v>38</v>
      </c>
      <c r="D152" s="24" t="s">
        <v>45</v>
      </c>
      <c r="E152" s="24" t="s">
        <v>46</v>
      </c>
      <c r="F152" s="24" t="s">
        <v>7</v>
      </c>
      <c r="G152" s="38">
        <v>-155904.979846</v>
      </c>
      <c r="H152" s="38">
        <v>-655</v>
      </c>
      <c r="I152" s="38"/>
      <c r="J152" s="38">
        <f t="shared" si="50"/>
        <v>-156559.979846</v>
      </c>
      <c r="K152" s="24"/>
      <c r="L152" s="24"/>
      <c r="M152" s="38"/>
      <c r="N152" s="38"/>
      <c r="O152" s="24"/>
      <c r="P152" s="38">
        <f t="shared" si="47"/>
        <v>-156559.979846</v>
      </c>
    </row>
    <row r="153" spans="1:16" s="34" customFormat="1" ht="13.2" x14ac:dyDescent="0.3">
      <c r="A153" s="24"/>
      <c r="B153" s="25"/>
      <c r="C153" s="24" t="s">
        <v>38</v>
      </c>
      <c r="D153" s="24" t="s">
        <v>47</v>
      </c>
      <c r="E153" s="24" t="s">
        <v>48</v>
      </c>
      <c r="F153" s="24" t="s">
        <v>7</v>
      </c>
      <c r="G153" s="38">
        <v>-1101.6731229835884</v>
      </c>
      <c r="H153" s="38"/>
      <c r="I153" s="38"/>
      <c r="J153" s="38">
        <f t="shared" si="50"/>
        <v>-1101.6731229835884</v>
      </c>
      <c r="K153" s="24"/>
      <c r="L153" s="24"/>
      <c r="M153" s="38">
        <v>-167</v>
      </c>
      <c r="N153" s="38"/>
      <c r="O153" s="24"/>
      <c r="P153" s="38">
        <f t="shared" si="47"/>
        <v>-1268.6731229835884</v>
      </c>
    </row>
    <row r="154" spans="1:16" s="34" customFormat="1" ht="13.2" x14ac:dyDescent="0.3">
      <c r="A154" s="24"/>
      <c r="B154" s="25"/>
      <c r="C154" s="24" t="s">
        <v>38</v>
      </c>
      <c r="D154" s="24" t="s">
        <v>261</v>
      </c>
      <c r="E154" s="24" t="s">
        <v>262</v>
      </c>
      <c r="F154" s="24" t="s">
        <v>7</v>
      </c>
      <c r="G154" s="38">
        <v>0</v>
      </c>
      <c r="H154" s="38">
        <v>-2231.3177592499997</v>
      </c>
      <c r="I154" s="38"/>
      <c r="J154" s="38">
        <f t="shared" si="50"/>
        <v>-2231.3177592499997</v>
      </c>
      <c r="K154" s="24"/>
      <c r="L154" s="24"/>
      <c r="M154" s="38">
        <v>-945</v>
      </c>
      <c r="N154" s="38"/>
      <c r="O154" s="24"/>
      <c r="P154" s="38">
        <f t="shared" si="47"/>
        <v>-3176.3177592499997</v>
      </c>
    </row>
    <row r="155" spans="1:16" s="34" customFormat="1" ht="13.2" x14ac:dyDescent="0.3">
      <c r="A155" s="24"/>
      <c r="B155" s="25"/>
      <c r="C155" s="24" t="s">
        <v>38</v>
      </c>
      <c r="D155" s="24" t="s">
        <v>313</v>
      </c>
      <c r="E155" s="24" t="s">
        <v>314</v>
      </c>
      <c r="F155" s="24" t="s">
        <v>7</v>
      </c>
      <c r="G155" s="38"/>
      <c r="H155" s="38"/>
      <c r="I155" s="38"/>
      <c r="J155" s="38">
        <f t="shared" si="50"/>
        <v>0</v>
      </c>
      <c r="K155" s="24"/>
      <c r="L155" s="38">
        <f>-2500*1</f>
        <v>-2500</v>
      </c>
      <c r="M155" s="38"/>
      <c r="N155" s="38"/>
      <c r="O155" s="24"/>
      <c r="P155" s="38">
        <f t="shared" si="47"/>
        <v>-2500</v>
      </c>
    </row>
    <row r="156" spans="1:16" s="34" customFormat="1" ht="13.2" x14ac:dyDescent="0.3">
      <c r="A156" s="24"/>
      <c r="B156" s="25"/>
      <c r="C156" s="24" t="s">
        <v>32</v>
      </c>
      <c r="D156" s="24" t="s">
        <v>21</v>
      </c>
      <c r="E156" s="24" t="s">
        <v>21</v>
      </c>
      <c r="F156" s="24" t="s">
        <v>7</v>
      </c>
      <c r="G156" s="38">
        <v>-16048.963444981193</v>
      </c>
      <c r="H156" s="38"/>
      <c r="I156" s="38"/>
      <c r="J156" s="38">
        <f t="shared" si="50"/>
        <v>-16048.963444981193</v>
      </c>
      <c r="K156" s="24"/>
      <c r="L156" s="24"/>
      <c r="M156" s="38"/>
      <c r="N156" s="38"/>
      <c r="O156" s="24"/>
      <c r="P156" s="38">
        <f t="shared" si="47"/>
        <v>-16048.963444981193</v>
      </c>
    </row>
    <row r="157" spans="1:16" s="34" customFormat="1" ht="13.2" x14ac:dyDescent="0.3">
      <c r="A157" s="24"/>
      <c r="B157" s="25"/>
      <c r="C157" s="24" t="s">
        <v>51</v>
      </c>
      <c r="D157" s="24" t="s">
        <v>21</v>
      </c>
      <c r="E157" s="24" t="s">
        <v>21</v>
      </c>
      <c r="F157" s="24" t="s">
        <v>8</v>
      </c>
      <c r="G157" s="38">
        <v>-36363.034144707111</v>
      </c>
      <c r="H157" s="38"/>
      <c r="I157" s="38"/>
      <c r="J157" s="38">
        <f t="shared" si="50"/>
        <v>-36363.034144707111</v>
      </c>
      <c r="K157" s="24"/>
      <c r="L157" s="24"/>
      <c r="M157" s="38"/>
      <c r="N157" s="38">
        <v>3557.3748887425472</v>
      </c>
      <c r="O157" s="24"/>
      <c r="P157" s="38">
        <f t="shared" si="47"/>
        <v>-32805.659255964565</v>
      </c>
    </row>
    <row r="158" spans="1:16" s="34" customFormat="1" ht="26.4" x14ac:dyDescent="0.3">
      <c r="A158" s="24" t="s">
        <v>107</v>
      </c>
      <c r="B158" s="25" t="s">
        <v>108</v>
      </c>
      <c r="C158" s="24" t="s">
        <v>38</v>
      </c>
      <c r="D158" s="24" t="s">
        <v>21</v>
      </c>
      <c r="E158" s="24" t="s">
        <v>21</v>
      </c>
      <c r="F158" s="24" t="s">
        <v>7</v>
      </c>
      <c r="G158" s="38">
        <v>-136364.44988895825</v>
      </c>
      <c r="H158" s="38"/>
      <c r="I158" s="38"/>
      <c r="J158" s="38">
        <f t="shared" si="50"/>
        <v>-136364.44988895825</v>
      </c>
      <c r="K158" s="24"/>
      <c r="L158" s="24"/>
      <c r="M158" s="38">
        <v>-1369.0030445270604</v>
      </c>
      <c r="N158" s="38">
        <v>7536.3928185029372</v>
      </c>
      <c r="O158" s="24"/>
      <c r="P158" s="38">
        <f t="shared" si="47"/>
        <v>-130197.06011498236</v>
      </c>
    </row>
    <row r="159" spans="1:16" s="34" customFormat="1" ht="13.2" x14ac:dyDescent="0.3">
      <c r="A159" s="24"/>
      <c r="B159" s="25"/>
      <c r="C159" s="24" t="s">
        <v>38</v>
      </c>
      <c r="D159" s="24" t="s">
        <v>47</v>
      </c>
      <c r="E159" s="24" t="s">
        <v>48</v>
      </c>
      <c r="F159" s="24" t="s">
        <v>7</v>
      </c>
      <c r="G159" s="38">
        <v>-746.70862068324152</v>
      </c>
      <c r="H159" s="38"/>
      <c r="I159" s="38"/>
      <c r="J159" s="38">
        <f t="shared" si="50"/>
        <v>-746.70862068324152</v>
      </c>
      <c r="K159" s="24"/>
      <c r="L159" s="24"/>
      <c r="M159" s="38">
        <v>-110.68635935579132</v>
      </c>
      <c r="N159" s="38"/>
      <c r="O159" s="24"/>
      <c r="P159" s="38">
        <f t="shared" si="47"/>
        <v>-857.39498003903282</v>
      </c>
    </row>
    <row r="160" spans="1:16" s="34" customFormat="1" ht="13.2" x14ac:dyDescent="0.3">
      <c r="A160" s="24"/>
      <c r="B160" s="25"/>
      <c r="C160" s="24" t="s">
        <v>38</v>
      </c>
      <c r="D160" s="24" t="s">
        <v>261</v>
      </c>
      <c r="E160" s="24" t="s">
        <v>262</v>
      </c>
      <c r="F160" s="24" t="s">
        <v>7</v>
      </c>
      <c r="G160" s="38">
        <v>0</v>
      </c>
      <c r="H160" s="38">
        <v>-1625.6540727500005</v>
      </c>
      <c r="I160" s="38"/>
      <c r="J160" s="38">
        <f t="shared" si="50"/>
        <v>-1625.6540727500005</v>
      </c>
      <c r="K160" s="24"/>
      <c r="L160" s="24"/>
      <c r="M160" s="38">
        <v>-598.39777448169662</v>
      </c>
      <c r="N160" s="38"/>
      <c r="O160" s="24"/>
      <c r="P160" s="38">
        <f t="shared" si="47"/>
        <v>-2224.0518472316971</v>
      </c>
    </row>
    <row r="161" spans="1:16" s="34" customFormat="1" ht="13.2" x14ac:dyDescent="0.3">
      <c r="A161" s="24"/>
      <c r="B161" s="25"/>
      <c r="C161" s="24" t="s">
        <v>38</v>
      </c>
      <c r="D161" s="24" t="s">
        <v>313</v>
      </c>
      <c r="E161" s="24" t="s">
        <v>314</v>
      </c>
      <c r="F161" s="24" t="s">
        <v>7</v>
      </c>
      <c r="G161" s="38"/>
      <c r="H161" s="38"/>
      <c r="I161" s="38"/>
      <c r="J161" s="38">
        <f t="shared" ref="J161" si="52">+G161+H161+I161</f>
        <v>0</v>
      </c>
      <c r="K161" s="24"/>
      <c r="L161" s="38">
        <f>-2500*1</f>
        <v>-2500</v>
      </c>
      <c r="M161" s="38"/>
      <c r="N161" s="38"/>
      <c r="O161" s="24"/>
      <c r="P161" s="38">
        <f t="shared" si="47"/>
        <v>-2500</v>
      </c>
    </row>
    <row r="162" spans="1:16" s="34" customFormat="1" ht="13.2" x14ac:dyDescent="0.3">
      <c r="A162" s="24"/>
      <c r="B162" s="25"/>
      <c r="C162" s="24" t="s">
        <v>32</v>
      </c>
      <c r="D162" s="24" t="s">
        <v>21</v>
      </c>
      <c r="E162" s="24" t="s">
        <v>21</v>
      </c>
      <c r="F162" s="24" t="s">
        <v>7</v>
      </c>
      <c r="G162" s="38">
        <v>-10877.908341379311</v>
      </c>
      <c r="H162" s="38"/>
      <c r="I162" s="38"/>
      <c r="J162" s="38">
        <f t="shared" si="50"/>
        <v>-10877.908341379311</v>
      </c>
      <c r="K162" s="24"/>
      <c r="L162" s="24"/>
      <c r="M162" s="38"/>
      <c r="N162" s="38"/>
      <c r="O162" s="24"/>
      <c r="P162" s="38">
        <f t="shared" si="47"/>
        <v>-10877.908341379311</v>
      </c>
    </row>
    <row r="163" spans="1:16" s="34" customFormat="1" ht="13.2" x14ac:dyDescent="0.3">
      <c r="A163" s="24"/>
      <c r="B163" s="25"/>
      <c r="C163" s="24" t="s">
        <v>35</v>
      </c>
      <c r="D163" s="24" t="s">
        <v>109</v>
      </c>
      <c r="E163" s="24" t="s">
        <v>110</v>
      </c>
      <c r="F163" s="24" t="s">
        <v>99</v>
      </c>
      <c r="G163" s="38">
        <v>-10000000</v>
      </c>
      <c r="H163" s="38"/>
      <c r="I163" s="38"/>
      <c r="J163" s="38">
        <f t="shared" si="50"/>
        <v>-10000000</v>
      </c>
      <c r="K163" s="24"/>
      <c r="L163" s="24"/>
      <c r="M163" s="38"/>
      <c r="N163" s="38"/>
      <c r="O163" s="24"/>
      <c r="P163" s="38">
        <f t="shared" si="47"/>
        <v>-10000000</v>
      </c>
    </row>
    <row r="164" spans="1:16" s="34" customFormat="1" ht="13.2" customHeight="1" x14ac:dyDescent="0.3">
      <c r="A164" s="24"/>
      <c r="B164" s="25"/>
      <c r="C164" s="24" t="s">
        <v>51</v>
      </c>
      <c r="D164" s="24" t="s">
        <v>21</v>
      </c>
      <c r="E164" s="24" t="s">
        <v>21</v>
      </c>
      <c r="F164" s="24" t="s">
        <v>8</v>
      </c>
      <c r="G164" s="38">
        <v>-569.14824931069847</v>
      </c>
      <c r="H164" s="38"/>
      <c r="I164" s="38"/>
      <c r="J164" s="38">
        <f t="shared" si="50"/>
        <v>-569.14824931069847</v>
      </c>
      <c r="K164" s="24"/>
      <c r="L164" s="24"/>
      <c r="M164" s="38"/>
      <c r="N164" s="38">
        <v>272.70846284316679</v>
      </c>
      <c r="O164" s="24"/>
      <c r="P164" s="38">
        <f t="shared" ref="P164:P227" si="53">+J164+K164+L164+M164+N164+O164</f>
        <v>-296.43978646753169</v>
      </c>
    </row>
    <row r="165" spans="1:16" s="34" customFormat="1" ht="26.4" x14ac:dyDescent="0.3">
      <c r="A165" s="24" t="s">
        <v>111</v>
      </c>
      <c r="B165" s="25" t="s">
        <v>112</v>
      </c>
      <c r="C165" s="24" t="s">
        <v>38</v>
      </c>
      <c r="D165" s="24" t="s">
        <v>21</v>
      </c>
      <c r="E165" s="24" t="s">
        <v>21</v>
      </c>
      <c r="F165" s="24" t="s">
        <v>7</v>
      </c>
      <c r="G165" s="38">
        <v>-144785.56750755146</v>
      </c>
      <c r="H165" s="38"/>
      <c r="I165" s="38"/>
      <c r="J165" s="38">
        <f t="shared" si="50"/>
        <v>-144785.56750755146</v>
      </c>
      <c r="K165" s="24"/>
      <c r="L165" s="24"/>
      <c r="M165" s="38">
        <v>-1988.6791557642573</v>
      </c>
      <c r="N165" s="38">
        <v>7893.7586764992693</v>
      </c>
      <c r="O165" s="24"/>
      <c r="P165" s="38">
        <f t="shared" si="53"/>
        <v>-138880.48798681644</v>
      </c>
    </row>
    <row r="166" spans="1:16" s="34" customFormat="1" ht="13.2" x14ac:dyDescent="0.3">
      <c r="A166" s="24"/>
      <c r="B166" s="25"/>
      <c r="C166" s="24" t="s">
        <v>38</v>
      </c>
      <c r="D166" s="24" t="s">
        <v>47</v>
      </c>
      <c r="E166" s="24" t="s">
        <v>48</v>
      </c>
      <c r="F166" s="24" t="s">
        <v>7</v>
      </c>
      <c r="G166" s="38">
        <v>-746.70862068324152</v>
      </c>
      <c r="H166" s="38"/>
      <c r="I166" s="38"/>
      <c r="J166" s="38">
        <f t="shared" si="50"/>
        <v>-746.70862068324152</v>
      </c>
      <c r="K166" s="24"/>
      <c r="L166" s="24"/>
      <c r="M166" s="38">
        <v>-110.14894997117594</v>
      </c>
      <c r="N166" s="38"/>
      <c r="O166" s="24"/>
      <c r="P166" s="38">
        <f t="shared" si="53"/>
        <v>-856.85757065441749</v>
      </c>
    </row>
    <row r="167" spans="1:16" s="34" customFormat="1" ht="13.2" x14ac:dyDescent="0.3">
      <c r="A167" s="24"/>
      <c r="B167" s="25"/>
      <c r="C167" s="24" t="s">
        <v>38</v>
      </c>
      <c r="D167" s="24" t="s">
        <v>261</v>
      </c>
      <c r="E167" s="24" t="s">
        <v>262</v>
      </c>
      <c r="F167" s="24" t="s">
        <v>7</v>
      </c>
      <c r="G167" s="38">
        <v>0</v>
      </c>
      <c r="H167" s="38">
        <v>-1677.5197152500004</v>
      </c>
      <c r="I167" s="38"/>
      <c r="J167" s="38">
        <f t="shared" si="50"/>
        <v>-1677.5197152500004</v>
      </c>
      <c r="K167" s="24"/>
      <c r="L167" s="24"/>
      <c r="M167" s="38">
        <v>-623.44355840477419</v>
      </c>
      <c r="N167" s="38"/>
      <c r="O167" s="24"/>
      <c r="P167" s="38">
        <f t="shared" si="53"/>
        <v>-2300.9632736547746</v>
      </c>
    </row>
    <row r="168" spans="1:16" s="34" customFormat="1" ht="13.2" x14ac:dyDescent="0.3">
      <c r="A168" s="24"/>
      <c r="B168" s="25"/>
      <c r="C168" s="24" t="s">
        <v>38</v>
      </c>
      <c r="D168" s="24" t="s">
        <v>313</v>
      </c>
      <c r="E168" s="24" t="s">
        <v>314</v>
      </c>
      <c r="F168" s="24" t="s">
        <v>7</v>
      </c>
      <c r="G168" s="38"/>
      <c r="H168" s="38"/>
      <c r="I168" s="38"/>
      <c r="J168" s="38">
        <f t="shared" si="50"/>
        <v>0</v>
      </c>
      <c r="K168" s="24"/>
      <c r="L168" s="38">
        <f>-2500*1</f>
        <v>-2500</v>
      </c>
      <c r="M168" s="38"/>
      <c r="N168" s="38"/>
      <c r="O168" s="24"/>
      <c r="P168" s="38">
        <f t="shared" si="53"/>
        <v>-2500</v>
      </c>
    </row>
    <row r="169" spans="1:16" s="34" customFormat="1" ht="13.2" x14ac:dyDescent="0.3">
      <c r="A169" s="24"/>
      <c r="B169" s="25"/>
      <c r="C169" s="24" t="s">
        <v>32</v>
      </c>
      <c r="D169" s="24" t="s">
        <v>21</v>
      </c>
      <c r="E169" s="24" t="s">
        <v>21</v>
      </c>
      <c r="F169" s="24" t="s">
        <v>7</v>
      </c>
      <c r="G169" s="38">
        <v>-10877.908341379311</v>
      </c>
      <c r="H169" s="38"/>
      <c r="I169" s="38"/>
      <c r="J169" s="38">
        <f t="shared" si="50"/>
        <v>-10877.908341379311</v>
      </c>
      <c r="K169" s="24"/>
      <c r="L169" s="24"/>
      <c r="M169" s="38"/>
      <c r="N169" s="38"/>
      <c r="O169" s="24"/>
      <c r="P169" s="38">
        <f t="shared" si="53"/>
        <v>-10877.908341379311</v>
      </c>
    </row>
    <row r="170" spans="1:16" s="34" customFormat="1" ht="13.2" x14ac:dyDescent="0.3">
      <c r="A170" s="24"/>
      <c r="B170" s="25"/>
      <c r="C170" s="24" t="s">
        <v>51</v>
      </c>
      <c r="D170" s="24" t="s">
        <v>21</v>
      </c>
      <c r="E170" s="24" t="s">
        <v>21</v>
      </c>
      <c r="F170" s="24" t="s">
        <v>8</v>
      </c>
      <c r="G170" s="38">
        <v>-603.66204561839083</v>
      </c>
      <c r="H170" s="38"/>
      <c r="I170" s="38"/>
      <c r="J170" s="38">
        <f t="shared" si="50"/>
        <v>-603.66204561839083</v>
      </c>
      <c r="K170" s="24"/>
      <c r="L170" s="24"/>
      <c r="M170" s="38"/>
      <c r="N170" s="38">
        <v>289.24581378705903</v>
      </c>
      <c r="O170" s="24"/>
      <c r="P170" s="38">
        <f t="shared" si="53"/>
        <v>-314.4162318313318</v>
      </c>
    </row>
    <row r="171" spans="1:16" s="34" customFormat="1" ht="13.2" x14ac:dyDescent="0.3">
      <c r="A171" s="32" t="s">
        <v>301</v>
      </c>
      <c r="B171" s="39"/>
      <c r="C171" s="35"/>
      <c r="D171" s="33"/>
      <c r="E171" s="33"/>
      <c r="F171" s="33"/>
      <c r="G171" s="40">
        <f>+SUBTOTAL(9,G174:G266)</f>
        <v>-418011719.18198323</v>
      </c>
      <c r="H171" s="40">
        <f t="shared" ref="H171:J171" si="54">+SUBTOTAL(9,H174:H266)</f>
        <v>-19481601.208906248</v>
      </c>
      <c r="I171" s="40">
        <f t="shared" si="54"/>
        <v>-130000</v>
      </c>
      <c r="J171" s="40">
        <f t="shared" si="54"/>
        <v>-437623320.39088941</v>
      </c>
      <c r="K171" s="40">
        <f t="shared" ref="K171:N171" si="55">+SUBTOTAL(9,K174:K266)</f>
        <v>0</v>
      </c>
      <c r="L171" s="40">
        <f t="shared" si="55"/>
        <v>-107500</v>
      </c>
      <c r="M171" s="40">
        <f>+SUBTOTAL(9,M174:M266)</f>
        <v>-57809649.919754602</v>
      </c>
      <c r="N171" s="40">
        <f t="shared" si="55"/>
        <v>63101107.419622488</v>
      </c>
      <c r="O171" s="40">
        <f t="shared" ref="O171:P171" si="56">+SUBTOTAL(9,O174:O266)</f>
        <v>-500000</v>
      </c>
      <c r="P171" s="40">
        <f t="shared" si="56"/>
        <v>-432939362.89102161</v>
      </c>
    </row>
    <row r="172" spans="1:16" s="34" customFormat="1" ht="13.2" x14ac:dyDescent="0.3">
      <c r="A172" s="28" t="s">
        <v>113</v>
      </c>
      <c r="B172" s="39"/>
      <c r="C172" s="35"/>
      <c r="D172" s="33"/>
      <c r="E172" s="33"/>
      <c r="F172" s="33"/>
      <c r="G172" s="31">
        <f>+SUBTOTAL(9,G174:G195)</f>
        <v>-146431685.54072261</v>
      </c>
      <c r="H172" s="31">
        <f t="shared" ref="H172:J172" si="57">+SUBTOTAL(9,H174:H195)</f>
        <v>-967100.99843749998</v>
      </c>
      <c r="I172" s="31">
        <f t="shared" si="57"/>
        <v>-268000</v>
      </c>
      <c r="J172" s="31">
        <f t="shared" si="57"/>
        <v>-147666786.5391601</v>
      </c>
      <c r="K172" s="31">
        <f t="shared" ref="K172:N172" si="58">+SUBTOTAL(9,K174:K195)</f>
        <v>0</v>
      </c>
      <c r="L172" s="31">
        <f t="shared" si="58"/>
        <v>-25000</v>
      </c>
      <c r="M172" s="31">
        <f t="shared" si="58"/>
        <v>-40593587.612595014</v>
      </c>
      <c r="N172" s="31">
        <f t="shared" si="58"/>
        <v>379657.52833480155</v>
      </c>
      <c r="O172" s="31">
        <f t="shared" ref="O172:P172" si="59">+SUBTOTAL(9,O174:O195)</f>
        <v>-500000</v>
      </c>
      <c r="P172" s="31">
        <f t="shared" si="59"/>
        <v>-188405716.62342036</v>
      </c>
    </row>
    <row r="173" spans="1:16" s="34" customFormat="1" ht="13.2" x14ac:dyDescent="0.3">
      <c r="A173" s="86" t="s">
        <v>114</v>
      </c>
      <c r="B173" s="86"/>
      <c r="C173" s="35"/>
      <c r="D173" s="33"/>
      <c r="E173" s="33"/>
      <c r="F173" s="33"/>
      <c r="G173" s="31">
        <f>+SUBTOTAL(9,G174)</f>
        <v>-1366999.99994</v>
      </c>
      <c r="H173" s="31">
        <f t="shared" ref="H173:P173" si="60">+SUBTOTAL(9,H174)</f>
        <v>0</v>
      </c>
      <c r="I173" s="31">
        <f t="shared" si="60"/>
        <v>-60000</v>
      </c>
      <c r="J173" s="31">
        <f t="shared" si="60"/>
        <v>-1426999.99994</v>
      </c>
      <c r="K173" s="31">
        <f t="shared" si="60"/>
        <v>0</v>
      </c>
      <c r="L173" s="31">
        <f t="shared" si="60"/>
        <v>0</v>
      </c>
      <c r="M173" s="31">
        <f t="shared" si="60"/>
        <v>-2287536.9999799998</v>
      </c>
      <c r="N173" s="31">
        <f t="shared" si="60"/>
        <v>1207000.0000100001</v>
      </c>
      <c r="O173" s="31">
        <f t="shared" si="60"/>
        <v>-500000</v>
      </c>
      <c r="P173" s="31">
        <f t="shared" si="60"/>
        <v>-3007536.9999099998</v>
      </c>
    </row>
    <row r="174" spans="1:16" s="34" customFormat="1" ht="26.4" x14ac:dyDescent="0.3">
      <c r="A174" s="24" t="s">
        <v>115</v>
      </c>
      <c r="B174" s="25" t="s">
        <v>116</v>
      </c>
      <c r="C174" s="24" t="s">
        <v>38</v>
      </c>
      <c r="D174" s="24" t="s">
        <v>87</v>
      </c>
      <c r="E174" s="24" t="s">
        <v>88</v>
      </c>
      <c r="F174" s="24" t="s">
        <v>117</v>
      </c>
      <c r="G174" s="38">
        <v>-1366999.99994</v>
      </c>
      <c r="H174" s="38"/>
      <c r="I174" s="38">
        <v>-60000</v>
      </c>
      <c r="J174" s="38">
        <f t="shared" si="50"/>
        <v>-1426999.99994</v>
      </c>
      <c r="K174" s="24"/>
      <c r="L174" s="24"/>
      <c r="M174" s="38">
        <v>-2287536.9999799998</v>
      </c>
      <c r="N174" s="38">
        <v>1207000.0000100001</v>
      </c>
      <c r="O174" s="38">
        <v>-500000</v>
      </c>
      <c r="P174" s="38">
        <f t="shared" si="53"/>
        <v>-3007536.9999099998</v>
      </c>
    </row>
    <row r="175" spans="1:16" s="34" customFormat="1" ht="13.2" x14ac:dyDescent="0.3">
      <c r="A175" s="84" t="s">
        <v>42</v>
      </c>
      <c r="B175" s="84"/>
      <c r="C175" s="35"/>
      <c r="D175" s="33"/>
      <c r="E175" s="33"/>
      <c r="F175" s="33"/>
      <c r="G175" s="31">
        <f t="shared" ref="G175:P175" si="61">+SUBTOTAL(9, G176:G195)</f>
        <v>-145064685.5407826</v>
      </c>
      <c r="H175" s="31">
        <f t="shared" si="61"/>
        <v>-967100.99843749998</v>
      </c>
      <c r="I175" s="31">
        <f t="shared" si="61"/>
        <v>-208000</v>
      </c>
      <c r="J175" s="31">
        <f>+SUBTOTAL(9, J176:J195)</f>
        <v>-146239786.53922009</v>
      </c>
      <c r="K175" s="31">
        <f t="shared" si="61"/>
        <v>0</v>
      </c>
      <c r="L175" s="31">
        <f t="shared" si="61"/>
        <v>-25000</v>
      </c>
      <c r="M175" s="31">
        <f t="shared" si="61"/>
        <v>-38306050.612615012</v>
      </c>
      <c r="N175" s="31">
        <f t="shared" si="61"/>
        <v>-827342.47167519864</v>
      </c>
      <c r="O175" s="31">
        <f t="shared" si="61"/>
        <v>0</v>
      </c>
      <c r="P175" s="31">
        <f t="shared" si="61"/>
        <v>-185398179.62351036</v>
      </c>
    </row>
    <row r="176" spans="1:16" s="34" customFormat="1" ht="26.4" x14ac:dyDescent="0.3">
      <c r="A176" s="24" t="s">
        <v>118</v>
      </c>
      <c r="B176" s="25" t="s">
        <v>119</v>
      </c>
      <c r="C176" s="24" t="s">
        <v>38</v>
      </c>
      <c r="D176" s="24" t="s">
        <v>21</v>
      </c>
      <c r="E176" s="24" t="s">
        <v>21</v>
      </c>
      <c r="F176" s="24" t="s">
        <v>289</v>
      </c>
      <c r="G176" s="38">
        <v>-50015962.310255244</v>
      </c>
      <c r="H176" s="38"/>
      <c r="I176" s="38">
        <f>-70000-138000-1000000</f>
        <v>-1208000</v>
      </c>
      <c r="J176" s="38">
        <f t="shared" si="50"/>
        <v>-51223962.310255244</v>
      </c>
      <c r="K176" s="24"/>
      <c r="L176" s="24"/>
      <c r="M176" s="38">
        <v>-38045412.1355782</v>
      </c>
      <c r="N176" s="38">
        <v>-838865.03189809725</v>
      </c>
      <c r="O176" s="38">
        <v>1100000</v>
      </c>
      <c r="P176" s="38">
        <f t="shared" si="53"/>
        <v>-89008239.477731541</v>
      </c>
    </row>
    <row r="177" spans="1:16" s="34" customFormat="1" ht="13.2" x14ac:dyDescent="0.3">
      <c r="A177" s="24"/>
      <c r="B177" s="25"/>
      <c r="C177" s="24" t="s">
        <v>38</v>
      </c>
      <c r="D177" s="24" t="s">
        <v>87</v>
      </c>
      <c r="E177" s="24" t="s">
        <v>88</v>
      </c>
      <c r="F177" s="24" t="s">
        <v>241</v>
      </c>
      <c r="G177" s="38">
        <v>-999999.99999000004</v>
      </c>
      <c r="H177" s="38"/>
      <c r="I177" s="38">
        <v>1000000</v>
      </c>
      <c r="J177" s="38">
        <f t="shared" si="50"/>
        <v>9.9999597296118736E-6</v>
      </c>
      <c r="K177" s="24"/>
      <c r="L177" s="24"/>
      <c r="M177" s="38">
        <v>-279999.99997000006</v>
      </c>
      <c r="N177" s="38"/>
      <c r="O177" s="38"/>
      <c r="P177" s="38">
        <f t="shared" si="53"/>
        <v>-279999.9999600001</v>
      </c>
    </row>
    <row r="178" spans="1:16" s="34" customFormat="1" ht="13.2" x14ac:dyDescent="0.3">
      <c r="A178" s="24"/>
      <c r="B178" s="25"/>
      <c r="C178" s="24" t="s">
        <v>38</v>
      </c>
      <c r="D178" s="24" t="s">
        <v>94</v>
      </c>
      <c r="E178" s="24" t="s">
        <v>95</v>
      </c>
      <c r="F178" s="24" t="s">
        <v>241</v>
      </c>
      <c r="G178" s="38"/>
      <c r="H178" s="38"/>
      <c r="I178" s="38"/>
      <c r="J178" s="38">
        <v>0</v>
      </c>
      <c r="K178" s="24"/>
      <c r="L178" s="24"/>
      <c r="M178" s="38"/>
      <c r="N178" s="38"/>
      <c r="O178" s="38">
        <v>-1100000</v>
      </c>
      <c r="P178" s="38">
        <f t="shared" si="53"/>
        <v>-1100000</v>
      </c>
    </row>
    <row r="179" spans="1:16" s="34" customFormat="1" ht="13.2" x14ac:dyDescent="0.3">
      <c r="A179" s="24"/>
      <c r="B179" s="25"/>
      <c r="C179" s="24" t="s">
        <v>38</v>
      </c>
      <c r="D179" s="24" t="s">
        <v>45</v>
      </c>
      <c r="E179" s="24" t="s">
        <v>46</v>
      </c>
      <c r="F179" s="24" t="s">
        <v>120</v>
      </c>
      <c r="G179" s="38">
        <v>-3611940.7979902211</v>
      </c>
      <c r="H179" s="38">
        <v>-954456</v>
      </c>
      <c r="I179" s="38"/>
      <c r="J179" s="38">
        <f t="shared" si="50"/>
        <v>-4566396.7979902215</v>
      </c>
      <c r="K179" s="24"/>
      <c r="L179" s="24"/>
      <c r="M179" s="38">
        <v>40192.793469500262</v>
      </c>
      <c r="N179" s="38"/>
      <c r="O179" s="24"/>
      <c r="P179" s="38">
        <f t="shared" si="53"/>
        <v>-4526204.0045207217</v>
      </c>
    </row>
    <row r="180" spans="1:16" s="34" customFormat="1" ht="13.2" x14ac:dyDescent="0.3">
      <c r="A180" s="24"/>
      <c r="B180" s="25"/>
      <c r="C180" s="24" t="s">
        <v>38</v>
      </c>
      <c r="D180" s="24" t="s">
        <v>47</v>
      </c>
      <c r="E180" s="24" t="s">
        <v>48</v>
      </c>
      <c r="F180" s="24" t="s">
        <v>120</v>
      </c>
      <c r="G180" s="38">
        <v>-6649.3559630959335</v>
      </c>
      <c r="H180" s="38"/>
      <c r="I180" s="38"/>
      <c r="J180" s="38">
        <f t="shared" si="50"/>
        <v>-6649.3559630959335</v>
      </c>
      <c r="K180" s="24"/>
      <c r="L180" s="24"/>
      <c r="M180" s="38">
        <v>-11780.6050708771</v>
      </c>
      <c r="N180" s="38"/>
      <c r="O180" s="24"/>
      <c r="P180" s="38">
        <f t="shared" si="53"/>
        <v>-18429.961033973035</v>
      </c>
    </row>
    <row r="181" spans="1:16" s="34" customFormat="1" ht="13.2" x14ac:dyDescent="0.3">
      <c r="A181" s="24"/>
      <c r="B181" s="25"/>
      <c r="C181" s="24" t="s">
        <v>38</v>
      </c>
      <c r="D181" s="24" t="s">
        <v>261</v>
      </c>
      <c r="E181" s="24" t="s">
        <v>262</v>
      </c>
      <c r="F181" s="24" t="s">
        <v>7</v>
      </c>
      <c r="G181" s="38">
        <v>0</v>
      </c>
      <c r="H181" s="38">
        <v>-10115.998750000004</v>
      </c>
      <c r="I181" s="38"/>
      <c r="J181" s="38">
        <f t="shared" si="50"/>
        <v>-10115.998750000004</v>
      </c>
      <c r="K181" s="24"/>
      <c r="L181" s="24"/>
      <c r="M181" s="38">
        <v>-2993.5377798766567</v>
      </c>
      <c r="N181" s="38"/>
      <c r="O181" s="24"/>
      <c r="P181" s="38">
        <f t="shared" si="53"/>
        <v>-13109.536529876661</v>
      </c>
    </row>
    <row r="182" spans="1:16" s="34" customFormat="1" ht="13.2" x14ac:dyDescent="0.3">
      <c r="A182" s="24"/>
      <c r="B182" s="25"/>
      <c r="C182" s="24" t="s">
        <v>38</v>
      </c>
      <c r="D182" s="24" t="s">
        <v>313</v>
      </c>
      <c r="E182" s="24" t="s">
        <v>314</v>
      </c>
      <c r="F182" s="24" t="s">
        <v>7</v>
      </c>
      <c r="G182" s="38"/>
      <c r="H182" s="38"/>
      <c r="I182" s="38"/>
      <c r="J182" s="38">
        <f t="shared" ref="J182" si="62">+G182+H182+I182</f>
        <v>0</v>
      </c>
      <c r="K182" s="24"/>
      <c r="L182" s="38">
        <f>-2500*8</f>
        <v>-20000</v>
      </c>
      <c r="M182" s="38"/>
      <c r="N182" s="38"/>
      <c r="O182" s="24"/>
      <c r="P182" s="38">
        <f t="shared" si="53"/>
        <v>-20000</v>
      </c>
    </row>
    <row r="183" spans="1:16" s="34" customFormat="1" ht="26.4" x14ac:dyDescent="0.3">
      <c r="A183" s="24"/>
      <c r="B183" s="25"/>
      <c r="C183" s="24" t="s">
        <v>96</v>
      </c>
      <c r="D183" s="24" t="s">
        <v>21</v>
      </c>
      <c r="E183" s="24" t="s">
        <v>21</v>
      </c>
      <c r="F183" s="25" t="s">
        <v>234</v>
      </c>
      <c r="G183" s="38">
        <v>-1341246.8593055101</v>
      </c>
      <c r="H183" s="38"/>
      <c r="I183" s="38"/>
      <c r="J183" s="38">
        <f t="shared" si="50"/>
        <v>-1341246.8593055101</v>
      </c>
      <c r="K183" s="24"/>
      <c r="L183" s="24"/>
      <c r="M183" s="38"/>
      <c r="N183" s="38"/>
      <c r="O183" s="24"/>
      <c r="P183" s="38">
        <f t="shared" si="53"/>
        <v>-1341246.8593055101</v>
      </c>
    </row>
    <row r="184" spans="1:16" s="34" customFormat="1" ht="13.2" x14ac:dyDescent="0.3">
      <c r="A184" s="24"/>
      <c r="B184" s="25"/>
      <c r="C184" s="24" t="s">
        <v>32</v>
      </c>
      <c r="D184" s="24" t="s">
        <v>21</v>
      </c>
      <c r="E184" s="24" t="s">
        <v>21</v>
      </c>
      <c r="F184" s="24" t="s">
        <v>120</v>
      </c>
      <c r="G184" s="38">
        <v>-122370.03923103448</v>
      </c>
      <c r="H184" s="38"/>
      <c r="I184" s="38"/>
      <c r="J184" s="38">
        <f t="shared" si="50"/>
        <v>-122370.03923103448</v>
      </c>
      <c r="K184" s="24"/>
      <c r="L184" s="24"/>
      <c r="M184" s="38"/>
      <c r="N184" s="38"/>
      <c r="O184" s="24"/>
      <c r="P184" s="38">
        <f t="shared" si="53"/>
        <v>-122370.03923103448</v>
      </c>
    </row>
    <row r="185" spans="1:16" s="34" customFormat="1" ht="26.4" x14ac:dyDescent="0.3">
      <c r="A185" s="24"/>
      <c r="B185" s="25"/>
      <c r="C185" s="24" t="s">
        <v>35</v>
      </c>
      <c r="D185" s="24" t="s">
        <v>21</v>
      </c>
      <c r="E185" s="24" t="s">
        <v>21</v>
      </c>
      <c r="F185" s="25" t="s">
        <v>235</v>
      </c>
      <c r="G185" s="38">
        <v>-72899985.064094484</v>
      </c>
      <c r="H185" s="38"/>
      <c r="I185" s="38"/>
      <c r="J185" s="38">
        <f t="shared" si="50"/>
        <v>-72899985.064094484</v>
      </c>
      <c r="K185" s="24"/>
      <c r="L185" s="24"/>
      <c r="M185" s="38"/>
      <c r="N185" s="38"/>
      <c r="O185" s="24"/>
      <c r="P185" s="38">
        <f t="shared" si="53"/>
        <v>-72899985.064094484</v>
      </c>
    </row>
    <row r="186" spans="1:16" s="34" customFormat="1" ht="26.4" x14ac:dyDescent="0.3">
      <c r="A186" s="24"/>
      <c r="B186" s="25"/>
      <c r="C186" s="36">
        <v>43</v>
      </c>
      <c r="D186" s="24" t="s">
        <v>49</v>
      </c>
      <c r="E186" s="24" t="s">
        <v>50</v>
      </c>
      <c r="F186" s="25" t="s">
        <v>236</v>
      </c>
      <c r="G186" s="38">
        <v>-14675000</v>
      </c>
      <c r="H186" s="38"/>
      <c r="I186" s="38"/>
      <c r="J186" s="38">
        <f t="shared" si="50"/>
        <v>-14675000</v>
      </c>
      <c r="K186" s="24"/>
      <c r="L186" s="24"/>
      <c r="M186" s="38"/>
      <c r="N186" s="38"/>
      <c r="O186" s="24"/>
      <c r="P186" s="38">
        <f t="shared" si="53"/>
        <v>-14675000</v>
      </c>
    </row>
    <row r="187" spans="1:16" s="34" customFormat="1" ht="13.2" x14ac:dyDescent="0.3">
      <c r="A187" s="24"/>
      <c r="B187" s="25"/>
      <c r="C187" s="24" t="s">
        <v>51</v>
      </c>
      <c r="D187" s="24" t="s">
        <v>21</v>
      </c>
      <c r="E187" s="24" t="s">
        <v>21</v>
      </c>
      <c r="F187" s="24" t="s">
        <v>8</v>
      </c>
      <c r="G187" s="38">
        <v>-30791.256865593277</v>
      </c>
      <c r="H187" s="38"/>
      <c r="I187" s="38"/>
      <c r="J187" s="38">
        <f t="shared" si="50"/>
        <v>-30791.256865593277</v>
      </c>
      <c r="K187" s="24"/>
      <c r="L187" s="24"/>
      <c r="M187" s="38"/>
      <c r="N187" s="38">
        <v>1419.9077826304513</v>
      </c>
      <c r="O187" s="24"/>
      <c r="P187" s="38">
        <f t="shared" si="53"/>
        <v>-29371.349082962824</v>
      </c>
    </row>
    <row r="188" spans="1:16" s="34" customFormat="1" ht="26.4" x14ac:dyDescent="0.3">
      <c r="A188" s="24" t="s">
        <v>121</v>
      </c>
      <c r="B188" s="25" t="s">
        <v>122</v>
      </c>
      <c r="C188" s="24" t="s">
        <v>38</v>
      </c>
      <c r="D188" s="24" t="s">
        <v>21</v>
      </c>
      <c r="E188" s="24" t="s">
        <v>21</v>
      </c>
      <c r="F188" s="24" t="s">
        <v>120</v>
      </c>
      <c r="G188" s="38">
        <v>-530466.02354157623</v>
      </c>
      <c r="H188" s="38"/>
      <c r="I188" s="38"/>
      <c r="J188" s="38">
        <f t="shared" si="50"/>
        <v>-530466.02354157623</v>
      </c>
      <c r="K188" s="24"/>
      <c r="L188" s="24"/>
      <c r="M188" s="38">
        <v>-3045.5645567594038</v>
      </c>
      <c r="N188" s="38">
        <v>9782.3689967498958</v>
      </c>
      <c r="O188" s="24"/>
      <c r="P188" s="38">
        <f t="shared" si="53"/>
        <v>-523729.21910158574</v>
      </c>
    </row>
    <row r="189" spans="1:16" s="34" customFormat="1" ht="13.2" x14ac:dyDescent="0.3">
      <c r="A189" s="24"/>
      <c r="B189" s="25"/>
      <c r="C189" s="24" t="s">
        <v>38</v>
      </c>
      <c r="D189" s="24" t="s">
        <v>47</v>
      </c>
      <c r="E189" s="24" t="s">
        <v>48</v>
      </c>
      <c r="F189" s="24" t="s">
        <v>120</v>
      </c>
      <c r="G189" s="38">
        <v>-1574.955841080483</v>
      </c>
      <c r="H189" s="38"/>
      <c r="I189" s="38"/>
      <c r="J189" s="38">
        <f t="shared" si="50"/>
        <v>-1574.955841080483</v>
      </c>
      <c r="K189" s="24"/>
      <c r="L189" s="24"/>
      <c r="M189" s="38">
        <v>-2250.6027906654303</v>
      </c>
      <c r="N189" s="38"/>
      <c r="O189" s="24"/>
      <c r="P189" s="38">
        <f t="shared" si="53"/>
        <v>-3825.5586317459133</v>
      </c>
    </row>
    <row r="190" spans="1:16" s="34" customFormat="1" ht="13.2" x14ac:dyDescent="0.3">
      <c r="A190" s="24"/>
      <c r="B190" s="25"/>
      <c r="C190" s="24" t="s">
        <v>38</v>
      </c>
      <c r="D190" s="24" t="s">
        <v>261</v>
      </c>
      <c r="E190" s="24" t="s">
        <v>262</v>
      </c>
      <c r="F190" s="24" t="s">
        <v>7</v>
      </c>
      <c r="G190" s="38">
        <v>0</v>
      </c>
      <c r="H190" s="38">
        <v>-2528.9996875000011</v>
      </c>
      <c r="I190" s="38"/>
      <c r="J190" s="38">
        <f t="shared" si="50"/>
        <v>-2528.9996875000011</v>
      </c>
      <c r="K190" s="24"/>
      <c r="L190" s="24"/>
      <c r="M190" s="38">
        <v>-760.96033814031716</v>
      </c>
      <c r="N190" s="38"/>
      <c r="O190" s="24"/>
      <c r="P190" s="38">
        <f t="shared" si="53"/>
        <v>-3289.9600256403182</v>
      </c>
    </row>
    <row r="191" spans="1:16" s="34" customFormat="1" ht="13.2" x14ac:dyDescent="0.3">
      <c r="A191" s="24"/>
      <c r="B191" s="25"/>
      <c r="C191" s="24" t="s">
        <v>38</v>
      </c>
      <c r="D191" s="24" t="s">
        <v>313</v>
      </c>
      <c r="E191" s="24" t="s">
        <v>314</v>
      </c>
      <c r="F191" s="24" t="s">
        <v>7</v>
      </c>
      <c r="G191" s="38"/>
      <c r="H191" s="38"/>
      <c r="I191" s="38"/>
      <c r="J191" s="38">
        <f t="shared" si="50"/>
        <v>0</v>
      </c>
      <c r="K191" s="24"/>
      <c r="L191" s="38">
        <f>-2500*2</f>
        <v>-5000</v>
      </c>
      <c r="M191" s="38"/>
      <c r="N191" s="38"/>
      <c r="O191" s="24"/>
      <c r="P191" s="38">
        <f t="shared" si="53"/>
        <v>-5000</v>
      </c>
    </row>
    <row r="192" spans="1:16" s="34" customFormat="1" ht="26.4" x14ac:dyDescent="0.3">
      <c r="A192" s="24"/>
      <c r="B192" s="25"/>
      <c r="C192" s="24" t="s">
        <v>96</v>
      </c>
      <c r="D192" s="24"/>
      <c r="E192" s="24"/>
      <c r="F192" s="25" t="s">
        <v>234</v>
      </c>
      <c r="G192" s="38">
        <v>-107552.8272958484</v>
      </c>
      <c r="H192" s="38"/>
      <c r="I192" s="38"/>
      <c r="J192" s="38">
        <f t="shared" si="50"/>
        <v>-107552.8272958484</v>
      </c>
      <c r="K192" s="24"/>
      <c r="L192" s="24"/>
      <c r="M192" s="38"/>
      <c r="N192" s="38"/>
      <c r="O192" s="24"/>
      <c r="P192" s="38">
        <f t="shared" si="53"/>
        <v>-107552.8272958484</v>
      </c>
    </row>
    <row r="193" spans="1:16" s="34" customFormat="1" ht="13.2" x14ac:dyDescent="0.3">
      <c r="A193" s="24"/>
      <c r="B193" s="25"/>
      <c r="C193" s="24" t="s">
        <v>32</v>
      </c>
      <c r="D193" s="24" t="s">
        <v>21</v>
      </c>
      <c r="E193" s="24" t="s">
        <v>21</v>
      </c>
      <c r="F193" s="24" t="s">
        <v>120</v>
      </c>
      <c r="G193" s="38">
        <v>-26021.292182758618</v>
      </c>
      <c r="H193" s="38"/>
      <c r="I193" s="38"/>
      <c r="J193" s="38">
        <f t="shared" si="50"/>
        <v>-26021.292182758618</v>
      </c>
      <c r="K193" s="24"/>
      <c r="L193" s="24"/>
      <c r="M193" s="38"/>
      <c r="N193" s="38"/>
      <c r="O193" s="24"/>
      <c r="P193" s="38">
        <f t="shared" si="53"/>
        <v>-26021.292182758618</v>
      </c>
    </row>
    <row r="194" spans="1:16" s="34" customFormat="1" ht="26.4" x14ac:dyDescent="0.3">
      <c r="A194" s="24"/>
      <c r="B194" s="25"/>
      <c r="C194" s="24" t="s">
        <v>35</v>
      </c>
      <c r="D194" s="24"/>
      <c r="E194" s="24"/>
      <c r="F194" s="25" t="s">
        <v>234</v>
      </c>
      <c r="G194" s="38">
        <v>-694456.32000000007</v>
      </c>
      <c r="H194" s="38"/>
      <c r="I194" s="38"/>
      <c r="J194" s="38">
        <f t="shared" si="50"/>
        <v>-694456.32000000007</v>
      </c>
      <c r="K194" s="24"/>
      <c r="L194" s="24"/>
      <c r="M194" s="38"/>
      <c r="N194" s="38"/>
      <c r="O194" s="24"/>
      <c r="P194" s="38">
        <f t="shared" si="53"/>
        <v>-694456.32000000007</v>
      </c>
    </row>
    <row r="195" spans="1:16" s="34" customFormat="1" ht="13.2" x14ac:dyDescent="0.3">
      <c r="A195" s="24"/>
      <c r="B195" s="25"/>
      <c r="C195" s="24" t="s">
        <v>51</v>
      </c>
      <c r="D195" s="24" t="s">
        <v>21</v>
      </c>
      <c r="E195" s="24" t="s">
        <v>21</v>
      </c>
      <c r="F195" s="24" t="s">
        <v>8</v>
      </c>
      <c r="G195" s="38">
        <v>-668.43822615985869</v>
      </c>
      <c r="H195" s="38"/>
      <c r="I195" s="38"/>
      <c r="J195" s="38">
        <f t="shared" si="50"/>
        <v>-668.43822615985869</v>
      </c>
      <c r="K195" s="24"/>
      <c r="L195" s="24"/>
      <c r="M195" s="38"/>
      <c r="N195" s="38">
        <v>320.28344351834505</v>
      </c>
      <c r="O195" s="24"/>
      <c r="P195" s="38">
        <f t="shared" si="53"/>
        <v>-348.15478264151363</v>
      </c>
    </row>
    <row r="196" spans="1:16" s="34" customFormat="1" ht="13.2" x14ac:dyDescent="0.3">
      <c r="A196" s="28" t="s">
        <v>123</v>
      </c>
      <c r="B196" s="39"/>
      <c r="C196" s="35"/>
      <c r="D196" s="33"/>
      <c r="E196" s="33"/>
      <c r="F196" s="33"/>
      <c r="G196" s="31">
        <f>+SUBTOTAL(9, G198:G228)</f>
        <v>-89632481.8350247</v>
      </c>
      <c r="H196" s="31">
        <f t="shared" ref="H196:J196" si="63">+SUBTOTAL(9, H198:H228)</f>
        <v>-18381865.892187499</v>
      </c>
      <c r="I196" s="31">
        <f t="shared" si="63"/>
        <v>0</v>
      </c>
      <c r="J196" s="31">
        <f t="shared" si="63"/>
        <v>-108014347.72721221</v>
      </c>
      <c r="K196" s="31">
        <f t="shared" ref="K196:N196" si="64">+SUBTOTAL(9, K198:K228)</f>
        <v>0</v>
      </c>
      <c r="L196" s="31">
        <f t="shared" si="64"/>
        <v>-45000</v>
      </c>
      <c r="M196" s="31">
        <f t="shared" si="64"/>
        <v>-1859022.1362094972</v>
      </c>
      <c r="N196" s="31">
        <f t="shared" si="64"/>
        <v>61644400.781283729</v>
      </c>
      <c r="O196" s="31">
        <f t="shared" ref="O196:P196" si="65">+SUBTOTAL(9, O198:O228)</f>
        <v>0</v>
      </c>
      <c r="P196" s="31">
        <f t="shared" si="65"/>
        <v>-48273969.082137972</v>
      </c>
    </row>
    <row r="197" spans="1:16" s="34" customFormat="1" ht="13.2" x14ac:dyDescent="0.3">
      <c r="A197" s="86" t="s">
        <v>114</v>
      </c>
      <c r="B197" s="86"/>
      <c r="C197" s="35"/>
      <c r="D197" s="33"/>
      <c r="E197" s="33"/>
      <c r="F197" s="33"/>
      <c r="G197" s="31">
        <f>+SUBTOTAL(9, G198)</f>
        <v>-1000000</v>
      </c>
      <c r="H197" s="31">
        <f t="shared" ref="H197:P197" si="66">+SUBTOTAL(9, H198)</f>
        <v>0</v>
      </c>
      <c r="I197" s="31">
        <f t="shared" si="66"/>
        <v>0</v>
      </c>
      <c r="J197" s="31">
        <f t="shared" si="66"/>
        <v>-1000000</v>
      </c>
      <c r="K197" s="31">
        <f t="shared" si="66"/>
        <v>0</v>
      </c>
      <c r="L197" s="31">
        <f t="shared" si="66"/>
        <v>0</v>
      </c>
      <c r="M197" s="31">
        <f t="shared" si="66"/>
        <v>0</v>
      </c>
      <c r="N197" s="31">
        <f t="shared" si="66"/>
        <v>500000.00001000002</v>
      </c>
      <c r="O197" s="31">
        <f t="shared" si="66"/>
        <v>0</v>
      </c>
      <c r="P197" s="31">
        <f t="shared" si="66"/>
        <v>-499999.99998999998</v>
      </c>
    </row>
    <row r="198" spans="1:16" s="34" customFormat="1" ht="13.2" x14ac:dyDescent="0.3">
      <c r="A198" s="24" t="s">
        <v>124</v>
      </c>
      <c r="B198" s="25" t="s">
        <v>125</v>
      </c>
      <c r="C198" s="24" t="s">
        <v>32</v>
      </c>
      <c r="D198" s="24" t="s">
        <v>87</v>
      </c>
      <c r="E198" s="24" t="s">
        <v>88</v>
      </c>
      <c r="F198" s="24" t="s">
        <v>126</v>
      </c>
      <c r="G198" s="38">
        <v>-1000000</v>
      </c>
      <c r="H198" s="38"/>
      <c r="I198" s="38"/>
      <c r="J198" s="38">
        <f t="shared" si="50"/>
        <v>-1000000</v>
      </c>
      <c r="K198" s="24"/>
      <c r="L198" s="24"/>
      <c r="M198" s="38"/>
      <c r="N198" s="38">
        <v>500000.00001000002</v>
      </c>
      <c r="O198" s="24"/>
      <c r="P198" s="38">
        <f t="shared" si="53"/>
        <v>-499999.99998999998</v>
      </c>
    </row>
    <row r="199" spans="1:16" s="34" customFormat="1" ht="13.2" x14ac:dyDescent="0.3">
      <c r="A199" s="84" t="s">
        <v>42</v>
      </c>
      <c r="B199" s="84"/>
      <c r="C199" s="35"/>
      <c r="D199" s="33"/>
      <c r="E199" s="33"/>
      <c r="F199" s="33"/>
      <c r="G199" s="31">
        <f>+SUBTOTAL(9, G200:G228)</f>
        <v>-88632481.8350247</v>
      </c>
      <c r="H199" s="31">
        <f>+SUBTOTAL(9, H200:H228)</f>
        <v>-18381865.892187499</v>
      </c>
      <c r="I199" s="31">
        <f>+SUBTOTAL(9, I200:I228)</f>
        <v>0</v>
      </c>
      <c r="J199" s="31">
        <f>+SUBTOTAL(9, J200:J228)</f>
        <v>-107014347.72721221</v>
      </c>
      <c r="K199" s="31">
        <f t="shared" ref="K199:P199" si="67">+SUBTOTAL(9, K200:K228)</f>
        <v>0</v>
      </c>
      <c r="L199" s="31">
        <f t="shared" si="67"/>
        <v>-45000</v>
      </c>
      <c r="M199" s="31">
        <f t="shared" si="67"/>
        <v>-1859022.1362094972</v>
      </c>
      <c r="N199" s="31">
        <f t="shared" si="67"/>
        <v>61144400.78127373</v>
      </c>
      <c r="O199" s="31">
        <f t="shared" si="67"/>
        <v>0</v>
      </c>
      <c r="P199" s="31">
        <f t="shared" si="67"/>
        <v>-47773969.082147971</v>
      </c>
    </row>
    <row r="200" spans="1:16" s="34" customFormat="1" ht="13.2" x14ac:dyDescent="0.3">
      <c r="A200" s="24" t="s">
        <v>127</v>
      </c>
      <c r="B200" s="25" t="s">
        <v>128</v>
      </c>
      <c r="C200" s="24" t="s">
        <v>38</v>
      </c>
      <c r="D200" s="24" t="s">
        <v>21</v>
      </c>
      <c r="E200" s="24" t="s">
        <v>21</v>
      </c>
      <c r="F200" s="24" t="s">
        <v>7</v>
      </c>
      <c r="G200" s="38">
        <v>-1122008.0651212733</v>
      </c>
      <c r="H200" s="38"/>
      <c r="I200" s="38"/>
      <c r="J200" s="38">
        <f t="shared" si="50"/>
        <v>-1122008.0651212733</v>
      </c>
      <c r="K200" s="24"/>
      <c r="L200" s="24"/>
      <c r="M200" s="38">
        <v>-54831.810936448383</v>
      </c>
      <c r="N200" s="38">
        <v>505447.8508997038</v>
      </c>
      <c r="O200" s="24"/>
      <c r="P200" s="38">
        <f t="shared" si="53"/>
        <v>-671392.02515801787</v>
      </c>
    </row>
    <row r="201" spans="1:16" s="34" customFormat="1" ht="13.2" x14ac:dyDescent="0.3">
      <c r="A201" s="24"/>
      <c r="B201" s="25"/>
      <c r="C201" s="24" t="s">
        <v>38</v>
      </c>
      <c r="D201" s="24" t="s">
        <v>47</v>
      </c>
      <c r="E201" s="24" t="s">
        <v>48</v>
      </c>
      <c r="F201" s="24" t="s">
        <v>7</v>
      </c>
      <c r="G201" s="38">
        <v>-26447.11385612173</v>
      </c>
      <c r="H201" s="38"/>
      <c r="I201" s="38"/>
      <c r="J201" s="38">
        <f t="shared" si="50"/>
        <v>-26447.11385612173</v>
      </c>
      <c r="K201" s="24"/>
      <c r="L201" s="24"/>
      <c r="M201" s="38">
        <v>-7205.1130135442982</v>
      </c>
      <c r="N201" s="38">
        <v>5708.8586391538065</v>
      </c>
      <c r="O201" s="24"/>
      <c r="P201" s="38">
        <f t="shared" si="53"/>
        <v>-27943.368230512227</v>
      </c>
    </row>
    <row r="202" spans="1:16" s="34" customFormat="1" ht="13.2" x14ac:dyDescent="0.3">
      <c r="A202" s="24"/>
      <c r="B202" s="25"/>
      <c r="C202" s="24" t="s">
        <v>38</v>
      </c>
      <c r="D202" s="24" t="s">
        <v>261</v>
      </c>
      <c r="E202" s="24" t="s">
        <v>262</v>
      </c>
      <c r="F202" s="24" t="s">
        <v>7</v>
      </c>
      <c r="G202" s="38">
        <v>0</v>
      </c>
      <c r="H202" s="38">
        <v>-8014.9394377499993</v>
      </c>
      <c r="I202" s="38"/>
      <c r="J202" s="38">
        <f t="shared" si="50"/>
        <v>-8014.9394377499993</v>
      </c>
      <c r="K202" s="24"/>
      <c r="L202" s="24"/>
      <c r="M202" s="38">
        <v>-3638.4354258604781</v>
      </c>
      <c r="N202" s="38"/>
      <c r="O202" s="24"/>
      <c r="P202" s="38">
        <f t="shared" si="53"/>
        <v>-11653.374863610477</v>
      </c>
    </row>
    <row r="203" spans="1:16" s="34" customFormat="1" ht="13.2" x14ac:dyDescent="0.3">
      <c r="A203" s="24"/>
      <c r="B203" s="25"/>
      <c r="C203" s="24" t="s">
        <v>38</v>
      </c>
      <c r="D203" s="24" t="s">
        <v>313</v>
      </c>
      <c r="E203" s="24" t="s">
        <v>314</v>
      </c>
      <c r="F203" s="24" t="s">
        <v>7</v>
      </c>
      <c r="G203" s="38"/>
      <c r="H203" s="38"/>
      <c r="I203" s="38"/>
      <c r="J203" s="38">
        <f t="shared" ref="J203" si="68">+G203+H203+I203</f>
        <v>0</v>
      </c>
      <c r="K203" s="24"/>
      <c r="L203" s="38">
        <f>-2500*3</f>
        <v>-7500</v>
      </c>
      <c r="M203" s="38"/>
      <c r="N203" s="38"/>
      <c r="O203" s="24"/>
      <c r="P203" s="38">
        <f t="shared" si="53"/>
        <v>-7500</v>
      </c>
    </row>
    <row r="204" spans="1:16" s="34" customFormat="1" ht="13.2" x14ac:dyDescent="0.3">
      <c r="A204" s="24"/>
      <c r="B204" s="25"/>
      <c r="C204" s="24" t="s">
        <v>32</v>
      </c>
      <c r="D204" s="24" t="s">
        <v>21</v>
      </c>
      <c r="E204" s="24" t="s">
        <v>21</v>
      </c>
      <c r="F204" s="24" t="s">
        <v>7</v>
      </c>
      <c r="G204" s="38">
        <v>-254995.35142413795</v>
      </c>
      <c r="H204" s="38"/>
      <c r="I204" s="38"/>
      <c r="J204" s="38">
        <f t="shared" si="50"/>
        <v>-254995.35142413795</v>
      </c>
      <c r="K204" s="24"/>
      <c r="L204" s="24"/>
      <c r="M204" s="38"/>
      <c r="N204" s="38">
        <v>121397.86583222065</v>
      </c>
      <c r="O204" s="24"/>
      <c r="P204" s="38">
        <f t="shared" si="53"/>
        <v>-133597.4855919173</v>
      </c>
    </row>
    <row r="205" spans="1:16" s="34" customFormat="1" ht="13.2" x14ac:dyDescent="0.3">
      <c r="A205" s="24"/>
      <c r="B205" s="25"/>
      <c r="C205" s="24" t="s">
        <v>35</v>
      </c>
      <c r="D205" s="24" t="s">
        <v>87</v>
      </c>
      <c r="E205" s="24" t="s">
        <v>88</v>
      </c>
      <c r="F205" s="24" t="s">
        <v>99</v>
      </c>
      <c r="G205" s="38">
        <v>-1300000</v>
      </c>
      <c r="H205" s="38"/>
      <c r="I205" s="38"/>
      <c r="J205" s="38">
        <f t="shared" si="50"/>
        <v>-1300000</v>
      </c>
      <c r="K205" s="24"/>
      <c r="L205" s="24"/>
      <c r="M205" s="38"/>
      <c r="N205" s="38"/>
      <c r="O205" s="24"/>
      <c r="P205" s="38">
        <f t="shared" si="53"/>
        <v>-1300000</v>
      </c>
    </row>
    <row r="206" spans="1:16" s="34" customFormat="1" ht="13.2" x14ac:dyDescent="0.3">
      <c r="A206" s="24"/>
      <c r="B206" s="25"/>
      <c r="C206" s="24" t="s">
        <v>51</v>
      </c>
      <c r="D206" s="24" t="s">
        <v>21</v>
      </c>
      <c r="E206" s="24" t="s">
        <v>21</v>
      </c>
      <c r="F206" s="24" t="s">
        <v>8</v>
      </c>
      <c r="G206" s="38">
        <v>-405737.67427383998</v>
      </c>
      <c r="H206" s="38"/>
      <c r="I206" s="38"/>
      <c r="J206" s="38">
        <f t="shared" si="50"/>
        <v>-405737.67427383998</v>
      </c>
      <c r="K206" s="24"/>
      <c r="L206" s="24"/>
      <c r="M206" s="38"/>
      <c r="N206" s="38">
        <v>202791.37274824927</v>
      </c>
      <c r="O206" s="24"/>
      <c r="P206" s="38">
        <f t="shared" si="53"/>
        <v>-202946.30152559071</v>
      </c>
    </row>
    <row r="207" spans="1:16" s="34" customFormat="1" ht="39.6" x14ac:dyDescent="0.3">
      <c r="A207" s="24" t="s">
        <v>129</v>
      </c>
      <c r="B207" s="25" t="s">
        <v>130</v>
      </c>
      <c r="C207" s="24" t="s">
        <v>38</v>
      </c>
      <c r="D207" s="24" t="s">
        <v>21</v>
      </c>
      <c r="E207" s="24" t="s">
        <v>21</v>
      </c>
      <c r="F207" s="24" t="s">
        <v>7</v>
      </c>
      <c r="G207" s="38">
        <v>-996856.90025446331</v>
      </c>
      <c r="H207" s="38"/>
      <c r="I207" s="38"/>
      <c r="J207" s="38">
        <f t="shared" si="50"/>
        <v>-996856.90025446331</v>
      </c>
      <c r="K207" s="24"/>
      <c r="L207" s="24"/>
      <c r="M207" s="38">
        <v>-490365.93893880176</v>
      </c>
      <c r="N207" s="38">
        <v>398733.27772025473</v>
      </c>
      <c r="O207" s="24"/>
      <c r="P207" s="38">
        <f t="shared" si="53"/>
        <v>-1088489.5614730101</v>
      </c>
    </row>
    <row r="208" spans="1:16" s="34" customFormat="1" ht="13.2" x14ac:dyDescent="0.3">
      <c r="A208" s="24"/>
      <c r="B208" s="25"/>
      <c r="C208" s="24" t="s">
        <v>38</v>
      </c>
      <c r="D208" s="24" t="s">
        <v>47</v>
      </c>
      <c r="E208" s="24" t="s">
        <v>48</v>
      </c>
      <c r="F208" s="24" t="s">
        <v>7</v>
      </c>
      <c r="G208" s="38">
        <v>-13397.728863112232</v>
      </c>
      <c r="H208" s="38"/>
      <c r="I208" s="38"/>
      <c r="J208" s="38">
        <f t="shared" si="50"/>
        <v>-13397.728863112232</v>
      </c>
      <c r="K208" s="24"/>
      <c r="L208" s="24"/>
      <c r="M208" s="38">
        <v>-2622.9875018518287</v>
      </c>
      <c r="N208" s="38">
        <v>2272.4980684016127</v>
      </c>
      <c r="O208" s="24"/>
      <c r="P208" s="38">
        <f t="shared" si="53"/>
        <v>-13748.218296562449</v>
      </c>
    </row>
    <row r="209" spans="1:16" s="34" customFormat="1" ht="13.2" x14ac:dyDescent="0.3">
      <c r="A209" s="24"/>
      <c r="B209" s="25"/>
      <c r="C209" s="24" t="s">
        <v>38</v>
      </c>
      <c r="D209" s="24" t="s">
        <v>261</v>
      </c>
      <c r="E209" s="24" t="s">
        <v>262</v>
      </c>
      <c r="F209" s="24" t="s">
        <v>7</v>
      </c>
      <c r="G209" s="38">
        <v>0</v>
      </c>
      <c r="H209" s="38">
        <v>-9962.2704417500008</v>
      </c>
      <c r="I209" s="38"/>
      <c r="J209" s="38">
        <f t="shared" si="50"/>
        <v>-9962.2704417500008</v>
      </c>
      <c r="K209" s="24"/>
      <c r="L209" s="24"/>
      <c r="M209" s="38">
        <v>-3353.863801985759</v>
      </c>
      <c r="N209" s="38"/>
      <c r="O209" s="24"/>
      <c r="P209" s="38">
        <f t="shared" si="53"/>
        <v>-13316.13424373576</v>
      </c>
    </row>
    <row r="210" spans="1:16" s="34" customFormat="1" ht="13.2" x14ac:dyDescent="0.3">
      <c r="A210" s="24"/>
      <c r="B210" s="25"/>
      <c r="C210" s="24" t="s">
        <v>38</v>
      </c>
      <c r="D210" s="24" t="s">
        <v>313</v>
      </c>
      <c r="E210" s="24" t="s">
        <v>314</v>
      </c>
      <c r="F210" s="24" t="s">
        <v>7</v>
      </c>
      <c r="G210" s="38"/>
      <c r="H210" s="38"/>
      <c r="I210" s="38"/>
      <c r="J210" s="38">
        <f t="shared" si="50"/>
        <v>0</v>
      </c>
      <c r="K210" s="24"/>
      <c r="L210" s="38">
        <f>-2500*7</f>
        <v>-17500</v>
      </c>
      <c r="M210" s="38"/>
      <c r="N210" s="38"/>
      <c r="O210" s="24"/>
      <c r="P210" s="38">
        <f t="shared" si="53"/>
        <v>-17500</v>
      </c>
    </row>
    <row r="211" spans="1:16" s="34" customFormat="1" ht="13.2" x14ac:dyDescent="0.3">
      <c r="A211" s="24"/>
      <c r="B211" s="25"/>
      <c r="C211" s="24" t="s">
        <v>32</v>
      </c>
      <c r="D211" s="24" t="s">
        <v>21</v>
      </c>
      <c r="E211" s="24" t="s">
        <v>21</v>
      </c>
      <c r="F211" s="24" t="s">
        <v>7</v>
      </c>
      <c r="G211" s="38">
        <v>-119425.17489480299</v>
      </c>
      <c r="H211" s="38"/>
      <c r="I211" s="38"/>
      <c r="J211" s="38">
        <f t="shared" si="50"/>
        <v>-119425.17489480299</v>
      </c>
      <c r="K211" s="24"/>
      <c r="L211" s="24"/>
      <c r="M211" s="38"/>
      <c r="N211" s="38">
        <v>52285.600174911291</v>
      </c>
      <c r="O211" s="24"/>
      <c r="P211" s="38">
        <f t="shared" si="53"/>
        <v>-67139.574719891694</v>
      </c>
    </row>
    <row r="212" spans="1:16" s="34" customFormat="1" ht="13.2" x14ac:dyDescent="0.3">
      <c r="A212" s="24"/>
      <c r="B212" s="25"/>
      <c r="C212" s="24" t="s">
        <v>51</v>
      </c>
      <c r="D212" s="24" t="s">
        <v>21</v>
      </c>
      <c r="E212" s="24" t="s">
        <v>21</v>
      </c>
      <c r="F212" s="24" t="s">
        <v>8</v>
      </c>
      <c r="G212" s="38">
        <v>-19757.731411336226</v>
      </c>
      <c r="H212" s="38"/>
      <c r="I212" s="38"/>
      <c r="J212" s="38">
        <f t="shared" si="50"/>
        <v>-19757.731411336226</v>
      </c>
      <c r="K212" s="24"/>
      <c r="L212" s="24"/>
      <c r="M212" s="38"/>
      <c r="N212" s="38">
        <v>3246.0007327329586</v>
      </c>
      <c r="O212" s="24"/>
      <c r="P212" s="38">
        <f t="shared" si="53"/>
        <v>-16511.730678603268</v>
      </c>
    </row>
    <row r="213" spans="1:16" s="34" customFormat="1" ht="13.2" x14ac:dyDescent="0.3">
      <c r="A213" s="24" t="s">
        <v>131</v>
      </c>
      <c r="B213" s="25" t="s">
        <v>132</v>
      </c>
      <c r="C213" s="24" t="s">
        <v>38</v>
      </c>
      <c r="D213" s="24" t="s">
        <v>21</v>
      </c>
      <c r="E213" s="24" t="s">
        <v>21</v>
      </c>
      <c r="F213" s="24" t="s">
        <v>7</v>
      </c>
      <c r="G213" s="38">
        <v>-1769924.8845873661</v>
      </c>
      <c r="H213" s="38"/>
      <c r="I213" s="38"/>
      <c r="J213" s="38">
        <f t="shared" si="50"/>
        <v>-1769924.8845873661</v>
      </c>
      <c r="K213" s="24"/>
      <c r="L213" s="24"/>
      <c r="M213" s="38">
        <v>-863423.2239197786</v>
      </c>
      <c r="N213" s="38">
        <v>779771.28319429979</v>
      </c>
      <c r="O213" s="24"/>
      <c r="P213" s="38">
        <f t="shared" si="53"/>
        <v>-1853576.8253128449</v>
      </c>
    </row>
    <row r="214" spans="1:16" s="34" customFormat="1" ht="13.2" x14ac:dyDescent="0.3">
      <c r="A214" s="24"/>
      <c r="B214" s="25"/>
      <c r="C214" s="24" t="s">
        <v>38</v>
      </c>
      <c r="D214" s="24" t="s">
        <v>271</v>
      </c>
      <c r="E214" s="24" t="s">
        <v>272</v>
      </c>
      <c r="F214" s="24" t="s">
        <v>7</v>
      </c>
      <c r="G214" s="38">
        <v>0</v>
      </c>
      <c r="H214" s="38">
        <v>-1952754</v>
      </c>
      <c r="I214" s="38"/>
      <c r="J214" s="38">
        <f t="shared" si="50"/>
        <v>-1952754</v>
      </c>
      <c r="K214" s="24"/>
      <c r="L214" s="24"/>
      <c r="M214" s="38">
        <v>-1.2900200022850186</v>
      </c>
      <c r="N214" s="38"/>
      <c r="O214" s="24"/>
      <c r="P214" s="38">
        <f t="shared" si="53"/>
        <v>-1952755.2900200023</v>
      </c>
    </row>
    <row r="215" spans="1:16" s="34" customFormat="1" ht="13.2" x14ac:dyDescent="0.3">
      <c r="A215" s="24"/>
      <c r="B215" s="25"/>
      <c r="C215" s="24" t="s">
        <v>38</v>
      </c>
      <c r="D215" s="24" t="s">
        <v>133</v>
      </c>
      <c r="E215" s="24" t="s">
        <v>134</v>
      </c>
      <c r="F215" s="24" t="s">
        <v>237</v>
      </c>
      <c r="G215" s="38">
        <v>-3040000</v>
      </c>
      <c r="H215" s="38"/>
      <c r="I215" s="38"/>
      <c r="J215" s="38">
        <f t="shared" ref="J215:J295" si="69">+G215+H215+I215</f>
        <v>-3040000</v>
      </c>
      <c r="K215" s="24"/>
      <c r="L215" s="24"/>
      <c r="M215" s="38">
        <v>-1006629.999990001</v>
      </c>
      <c r="N215" s="38">
        <v>2090816.0000100001</v>
      </c>
      <c r="O215" s="24"/>
      <c r="P215" s="38">
        <f t="shared" si="53"/>
        <v>-1955813.9999800008</v>
      </c>
    </row>
    <row r="216" spans="1:16" s="34" customFormat="1" ht="13.2" x14ac:dyDescent="0.3">
      <c r="A216" s="24"/>
      <c r="B216" s="25"/>
      <c r="C216" s="24" t="s">
        <v>38</v>
      </c>
      <c r="D216" s="24" t="s">
        <v>58</v>
      </c>
      <c r="E216" s="24" t="s">
        <v>59</v>
      </c>
      <c r="F216" s="24" t="s">
        <v>7</v>
      </c>
      <c r="G216" s="38">
        <v>0</v>
      </c>
      <c r="H216" s="38">
        <v>-15000000</v>
      </c>
      <c r="I216" s="38"/>
      <c r="J216" s="38">
        <f t="shared" si="69"/>
        <v>-15000000</v>
      </c>
      <c r="K216" s="24"/>
      <c r="L216" s="24"/>
      <c r="M216" s="38">
        <v>627003.77001000009</v>
      </c>
      <c r="N216" s="38"/>
      <c r="O216" s="24"/>
      <c r="P216" s="38">
        <f t="shared" si="53"/>
        <v>-14372996.22999</v>
      </c>
    </row>
    <row r="217" spans="1:16" s="34" customFormat="1" ht="13.2" x14ac:dyDescent="0.3">
      <c r="A217" s="24"/>
      <c r="B217" s="25"/>
      <c r="C217" s="24" t="s">
        <v>38</v>
      </c>
      <c r="D217" s="24" t="s">
        <v>139</v>
      </c>
      <c r="E217" s="24" t="s">
        <v>140</v>
      </c>
      <c r="F217" s="24" t="s">
        <v>7</v>
      </c>
      <c r="G217" s="38">
        <v>0</v>
      </c>
      <c r="H217" s="38">
        <v>-1400000</v>
      </c>
      <c r="I217" s="38"/>
      <c r="J217" s="38">
        <f t="shared" si="69"/>
        <v>-1400000</v>
      </c>
      <c r="K217" s="24"/>
      <c r="L217" s="24"/>
      <c r="M217" s="38"/>
      <c r="N217" s="38"/>
      <c r="O217" s="24"/>
      <c r="P217" s="38">
        <f t="shared" si="53"/>
        <v>-1400000</v>
      </c>
    </row>
    <row r="218" spans="1:16" s="34" customFormat="1" ht="13.2" x14ac:dyDescent="0.3">
      <c r="A218" s="24"/>
      <c r="B218" s="25"/>
      <c r="C218" s="24" t="s">
        <v>38</v>
      </c>
      <c r="D218" s="24" t="s">
        <v>261</v>
      </c>
      <c r="E218" s="24" t="s">
        <v>262</v>
      </c>
      <c r="F218" s="24" t="s">
        <v>7</v>
      </c>
      <c r="G218" s="38">
        <v>0</v>
      </c>
      <c r="H218" s="38">
        <v>-11134.682308000003</v>
      </c>
      <c r="I218" s="38"/>
      <c r="J218" s="38">
        <f t="shared" si="69"/>
        <v>-11134.682308000003</v>
      </c>
      <c r="K218" s="24"/>
      <c r="L218" s="24"/>
      <c r="M218" s="38">
        <v>-3688.4243724074258</v>
      </c>
      <c r="N218" s="38"/>
      <c r="O218" s="24"/>
      <c r="P218" s="38">
        <f t="shared" si="53"/>
        <v>-14823.106680407429</v>
      </c>
    </row>
    <row r="219" spans="1:16" s="34" customFormat="1" ht="13.2" x14ac:dyDescent="0.3">
      <c r="A219" s="24"/>
      <c r="B219" s="25"/>
      <c r="C219" s="24" t="s">
        <v>38</v>
      </c>
      <c r="D219" s="24" t="s">
        <v>135</v>
      </c>
      <c r="E219" s="24" t="s">
        <v>136</v>
      </c>
      <c r="F219" s="24" t="s">
        <v>237</v>
      </c>
      <c r="G219" s="38">
        <v>-5000000</v>
      </c>
      <c r="H219" s="38"/>
      <c r="I219" s="38"/>
      <c r="J219" s="38">
        <f t="shared" si="69"/>
        <v>-5000000</v>
      </c>
      <c r="K219" s="24"/>
      <c r="L219" s="24"/>
      <c r="M219" s="38"/>
      <c r="N219" s="38">
        <v>5000000.0000099996</v>
      </c>
      <c r="O219" s="24"/>
      <c r="P219" s="38">
        <f t="shared" si="53"/>
        <v>9.9996104836463928E-6</v>
      </c>
    </row>
    <row r="220" spans="1:16" s="34" customFormat="1" ht="13.2" x14ac:dyDescent="0.3">
      <c r="A220" s="24"/>
      <c r="B220" s="25"/>
      <c r="C220" s="24" t="s">
        <v>38</v>
      </c>
      <c r="D220" s="24" t="s">
        <v>47</v>
      </c>
      <c r="E220" s="24" t="s">
        <v>48</v>
      </c>
      <c r="F220" s="24" t="s">
        <v>7</v>
      </c>
      <c r="G220" s="38">
        <v>-14638.855963343931</v>
      </c>
      <c r="H220" s="38"/>
      <c r="I220" s="38"/>
      <c r="J220" s="38">
        <f t="shared" si="69"/>
        <v>-14638.855963343931</v>
      </c>
      <c r="K220" s="24"/>
      <c r="L220" s="24"/>
      <c r="M220" s="38">
        <v>-35864.818298815575</v>
      </c>
      <c r="N220" s="38">
        <v>2116.4497576058711</v>
      </c>
      <c r="O220" s="24"/>
      <c r="P220" s="38">
        <f t="shared" si="53"/>
        <v>-48387.224504553633</v>
      </c>
    </row>
    <row r="221" spans="1:16" s="34" customFormat="1" ht="13.2" x14ac:dyDescent="0.3">
      <c r="A221" s="24"/>
      <c r="B221" s="25"/>
      <c r="C221" s="24" t="s">
        <v>38</v>
      </c>
      <c r="D221" s="24" t="s">
        <v>137</v>
      </c>
      <c r="E221" s="24" t="s">
        <v>138</v>
      </c>
      <c r="F221" s="24" t="s">
        <v>7</v>
      </c>
      <c r="G221" s="38">
        <v>-5000</v>
      </c>
      <c r="H221" s="38"/>
      <c r="I221" s="38"/>
      <c r="J221" s="38">
        <f t="shared" si="69"/>
        <v>-5000</v>
      </c>
      <c r="K221" s="24"/>
      <c r="L221" s="24"/>
      <c r="M221" s="38"/>
      <c r="N221" s="38"/>
      <c r="O221" s="24"/>
      <c r="P221" s="38">
        <f t="shared" si="53"/>
        <v>-5000</v>
      </c>
    </row>
    <row r="222" spans="1:16" s="34" customFormat="1" ht="13.2" x14ac:dyDescent="0.3">
      <c r="A222" s="24"/>
      <c r="B222" s="25"/>
      <c r="C222" s="24" t="s">
        <v>38</v>
      </c>
      <c r="D222" s="24" t="s">
        <v>313</v>
      </c>
      <c r="E222" s="24" t="s">
        <v>314</v>
      </c>
      <c r="F222" s="24" t="s">
        <v>7</v>
      </c>
      <c r="G222" s="38"/>
      <c r="H222" s="38"/>
      <c r="I222" s="38"/>
      <c r="J222" s="38">
        <f t="shared" si="69"/>
        <v>0</v>
      </c>
      <c r="K222" s="24"/>
      <c r="L222" s="38">
        <f>-2500*8</f>
        <v>-20000</v>
      </c>
      <c r="M222" s="38"/>
      <c r="N222" s="38"/>
      <c r="O222" s="24"/>
      <c r="P222" s="38">
        <f t="shared" si="53"/>
        <v>-20000</v>
      </c>
    </row>
    <row r="223" spans="1:16" s="34" customFormat="1" ht="13.2" x14ac:dyDescent="0.3">
      <c r="A223" s="24"/>
      <c r="B223" s="25"/>
      <c r="C223" s="24" t="s">
        <v>38</v>
      </c>
      <c r="D223" s="24" t="s">
        <v>311</v>
      </c>
      <c r="E223" s="24" t="s">
        <v>312</v>
      </c>
      <c r="F223" s="24" t="s">
        <v>7</v>
      </c>
      <c r="G223" s="38"/>
      <c r="H223" s="38"/>
      <c r="I223" s="38"/>
      <c r="J223" s="38"/>
      <c r="K223" s="24"/>
      <c r="L223" s="24"/>
      <c r="M223" s="38">
        <v>-14400</v>
      </c>
      <c r="N223" s="38"/>
      <c r="O223" s="24"/>
      <c r="P223" s="38">
        <f t="shared" si="53"/>
        <v>-14400</v>
      </c>
    </row>
    <row r="224" spans="1:16" s="34" customFormat="1" ht="13.2" x14ac:dyDescent="0.3">
      <c r="A224" s="24"/>
      <c r="B224" s="25"/>
      <c r="C224" s="24" t="s">
        <v>32</v>
      </c>
      <c r="D224" s="24" t="s">
        <v>21</v>
      </c>
      <c r="E224" s="24" t="s">
        <v>21</v>
      </c>
      <c r="F224" s="24" t="s">
        <v>7</v>
      </c>
      <c r="G224" s="38">
        <v>-130824.10533103447</v>
      </c>
      <c r="H224" s="38"/>
      <c r="I224" s="38"/>
      <c r="J224" s="38">
        <f t="shared" si="69"/>
        <v>-130824.10533103447</v>
      </c>
      <c r="K224" s="24"/>
      <c r="L224" s="24"/>
      <c r="M224" s="38"/>
      <c r="N224" s="38">
        <v>30878.050198997094</v>
      </c>
      <c r="O224" s="24"/>
      <c r="P224" s="38">
        <f t="shared" si="53"/>
        <v>-99946.055132037378</v>
      </c>
    </row>
    <row r="225" spans="1:16" s="34" customFormat="1" ht="13.2" x14ac:dyDescent="0.3">
      <c r="A225" s="24"/>
      <c r="B225" s="25"/>
      <c r="C225" s="24" t="s">
        <v>35</v>
      </c>
      <c r="D225" s="24" t="s">
        <v>21</v>
      </c>
      <c r="E225" s="24" t="s">
        <v>21</v>
      </c>
      <c r="F225" s="24" t="s">
        <v>7</v>
      </c>
      <c r="G225" s="38">
        <v>-219019.99999999991</v>
      </c>
      <c r="H225" s="38"/>
      <c r="I225" s="38"/>
      <c r="J225" s="38">
        <f t="shared" si="69"/>
        <v>-219019.99999999991</v>
      </c>
      <c r="K225" s="24"/>
      <c r="L225" s="24"/>
      <c r="M225" s="38"/>
      <c r="N225" s="38">
        <v>219020.00000999999</v>
      </c>
      <c r="O225" s="24"/>
      <c r="P225" s="38">
        <f t="shared" si="53"/>
        <v>1.0000076144933701E-5</v>
      </c>
    </row>
    <row r="226" spans="1:16" s="34" customFormat="1" ht="13.2" x14ac:dyDescent="0.3">
      <c r="A226" s="24"/>
      <c r="B226" s="25"/>
      <c r="C226" s="24" t="s">
        <v>35</v>
      </c>
      <c r="D226" s="24" t="s">
        <v>139</v>
      </c>
      <c r="E226" s="24" t="s">
        <v>140</v>
      </c>
      <c r="F226" s="24" t="s">
        <v>62</v>
      </c>
      <c r="G226" s="38">
        <v>-65865445</v>
      </c>
      <c r="H226" s="38"/>
      <c r="I226" s="38"/>
      <c r="J226" s="38">
        <f t="shared" si="69"/>
        <v>-65865445</v>
      </c>
      <c r="K226" s="24"/>
      <c r="L226" s="24"/>
      <c r="M226" s="38"/>
      <c r="N226" s="38">
        <v>43402685.000029996</v>
      </c>
      <c r="O226" s="24"/>
      <c r="P226" s="38">
        <f t="shared" si="53"/>
        <v>-22462759.999970004</v>
      </c>
    </row>
    <row r="227" spans="1:16" s="34" customFormat="1" ht="26.4" x14ac:dyDescent="0.3">
      <c r="A227" s="24"/>
      <c r="B227" s="25"/>
      <c r="C227" s="24" t="s">
        <v>74</v>
      </c>
      <c r="D227" s="24" t="s">
        <v>75</v>
      </c>
      <c r="E227" s="24" t="s">
        <v>76</v>
      </c>
      <c r="F227" s="25" t="s">
        <v>238</v>
      </c>
      <c r="G227" s="38">
        <v>-8325599.9999899995</v>
      </c>
      <c r="H227" s="38"/>
      <c r="I227" s="38"/>
      <c r="J227" s="38">
        <f t="shared" si="69"/>
        <v>-8325599.9999899995</v>
      </c>
      <c r="K227" s="24"/>
      <c r="L227" s="24"/>
      <c r="M227" s="38"/>
      <c r="N227" s="38">
        <v>8325600.0000100005</v>
      </c>
      <c r="O227" s="24"/>
      <c r="P227" s="38">
        <f t="shared" si="53"/>
        <v>2.0001083612442017E-5</v>
      </c>
    </row>
    <row r="228" spans="1:16" s="34" customFormat="1" ht="13.2" x14ac:dyDescent="0.3">
      <c r="A228" s="24"/>
      <c r="B228" s="25"/>
      <c r="C228" s="24" t="s">
        <v>51</v>
      </c>
      <c r="D228" s="24" t="s">
        <v>21</v>
      </c>
      <c r="E228" s="24" t="s">
        <v>21</v>
      </c>
      <c r="F228" s="24" t="s">
        <v>8</v>
      </c>
      <c r="G228" s="38">
        <v>-3403.2490538702027</v>
      </c>
      <c r="H228" s="38"/>
      <c r="I228" s="38"/>
      <c r="J228" s="38">
        <f t="shared" si="69"/>
        <v>-3403.2490538702027</v>
      </c>
      <c r="K228" s="24"/>
      <c r="L228" s="24"/>
      <c r="M228" s="38"/>
      <c r="N228" s="38">
        <v>1630.6732372056499</v>
      </c>
      <c r="O228" s="24"/>
      <c r="P228" s="38">
        <f t="shared" ref="P228:P291" si="70">+J228+K228+L228+M228+N228+O228</f>
        <v>-1772.5758166645528</v>
      </c>
    </row>
    <row r="229" spans="1:16" s="34" customFormat="1" ht="13.2" x14ac:dyDescent="0.3">
      <c r="A229" s="85" t="s">
        <v>141</v>
      </c>
      <c r="B229" s="85"/>
      <c r="C229" s="85"/>
      <c r="D229" s="33"/>
      <c r="E229" s="33"/>
      <c r="F229" s="33"/>
      <c r="G229" s="31">
        <f>+SUBTOTAL(9, G231:G266)</f>
        <v>-181947551.806236</v>
      </c>
      <c r="H229" s="31">
        <f t="shared" ref="H229:J229" si="71">+SUBTOTAL(9, H231:H266)</f>
        <v>-132634.31828125002</v>
      </c>
      <c r="I229" s="31">
        <f t="shared" si="71"/>
        <v>138000</v>
      </c>
      <c r="J229" s="31">
        <f t="shared" si="71"/>
        <v>-181942186.12451723</v>
      </c>
      <c r="K229" s="31">
        <f t="shared" ref="K229:N229" si="72">+SUBTOTAL(9, K231:K266)</f>
        <v>0</v>
      </c>
      <c r="L229" s="31">
        <f t="shared" si="72"/>
        <v>-37500</v>
      </c>
      <c r="M229" s="31">
        <f t="shared" si="72"/>
        <v>-15357040.170950087</v>
      </c>
      <c r="N229" s="31">
        <f t="shared" si="72"/>
        <v>1077049.110003958</v>
      </c>
      <c r="O229" s="31">
        <f t="shared" ref="O229:P229" si="73">+SUBTOTAL(9, O231:O266)</f>
        <v>0</v>
      </c>
      <c r="P229" s="31">
        <f t="shared" si="73"/>
        <v>-196259677.18546334</v>
      </c>
    </row>
    <row r="230" spans="1:16" s="34" customFormat="1" ht="13.2" x14ac:dyDescent="0.3">
      <c r="A230" s="86" t="s">
        <v>114</v>
      </c>
      <c r="B230" s="86"/>
      <c r="C230" s="35"/>
      <c r="D230" s="33"/>
      <c r="E230" s="33"/>
      <c r="F230" s="33"/>
      <c r="G230" s="31">
        <f>+SUBTOTAL(9, G231:G232)</f>
        <v>-340000</v>
      </c>
      <c r="H230" s="31">
        <f t="shared" ref="H230:J230" si="74">+SUBTOTAL(9, H231:H232)</f>
        <v>0</v>
      </c>
      <c r="I230" s="31">
        <f t="shared" si="74"/>
        <v>0</v>
      </c>
      <c r="J230" s="31">
        <f t="shared" si="74"/>
        <v>-340000</v>
      </c>
      <c r="K230" s="31">
        <f t="shared" ref="K230:N230" si="75">+SUBTOTAL(9, K231:K232)</f>
        <v>0</v>
      </c>
      <c r="L230" s="31">
        <f t="shared" si="75"/>
        <v>0</v>
      </c>
      <c r="M230" s="31">
        <f t="shared" si="75"/>
        <v>-250000</v>
      </c>
      <c r="N230" s="31">
        <f t="shared" si="75"/>
        <v>0</v>
      </c>
      <c r="O230" s="31">
        <f t="shared" ref="O230:P230" si="76">+SUBTOTAL(9, O231:O232)</f>
        <v>0</v>
      </c>
      <c r="P230" s="31">
        <f t="shared" si="76"/>
        <v>-590000</v>
      </c>
    </row>
    <row r="231" spans="1:16" s="34" customFormat="1" ht="26.4" x14ac:dyDescent="0.3">
      <c r="A231" s="24" t="s">
        <v>142</v>
      </c>
      <c r="B231" s="25" t="s">
        <v>143</v>
      </c>
      <c r="C231" s="24" t="s">
        <v>38</v>
      </c>
      <c r="D231" s="24" t="s">
        <v>87</v>
      </c>
      <c r="E231" s="24" t="s">
        <v>88</v>
      </c>
      <c r="F231" s="24" t="s">
        <v>144</v>
      </c>
      <c r="G231" s="38">
        <v>-140000</v>
      </c>
      <c r="H231" s="38"/>
      <c r="I231" s="38"/>
      <c r="J231" s="38">
        <f t="shared" si="69"/>
        <v>-140000</v>
      </c>
      <c r="K231" s="24"/>
      <c r="L231" s="24"/>
      <c r="M231" s="38">
        <v>-250000</v>
      </c>
      <c r="N231" s="24"/>
      <c r="O231" s="24"/>
      <c r="P231" s="38">
        <f t="shared" si="70"/>
        <v>-390000</v>
      </c>
    </row>
    <row r="232" spans="1:16" s="34" customFormat="1" ht="13.2" x14ac:dyDescent="0.3">
      <c r="A232" s="24"/>
      <c r="B232" s="25"/>
      <c r="C232" s="24" t="s">
        <v>32</v>
      </c>
      <c r="D232" s="24" t="s">
        <v>87</v>
      </c>
      <c r="E232" s="24" t="s">
        <v>88</v>
      </c>
      <c r="F232" s="24" t="s">
        <v>126</v>
      </c>
      <c r="G232" s="38">
        <v>-200000</v>
      </c>
      <c r="H232" s="38"/>
      <c r="I232" s="38"/>
      <c r="J232" s="38">
        <f t="shared" si="69"/>
        <v>-200000</v>
      </c>
      <c r="K232" s="24"/>
      <c r="L232" s="24"/>
      <c r="M232" s="38"/>
      <c r="N232" s="24"/>
      <c r="O232" s="24"/>
      <c r="P232" s="38">
        <f t="shared" si="70"/>
        <v>-200000</v>
      </c>
    </row>
    <row r="233" spans="1:16" s="34" customFormat="1" ht="13.2" x14ac:dyDescent="0.3">
      <c r="A233" s="84" t="s">
        <v>42</v>
      </c>
      <c r="B233" s="84"/>
      <c r="C233" s="35"/>
      <c r="D233" s="33"/>
      <c r="E233" s="33"/>
      <c r="F233" s="33"/>
      <c r="G233" s="31">
        <f t="shared" ref="G233:P233" si="77">+SUBTOTAL(9, G234:G266)</f>
        <v>-181607551.806236</v>
      </c>
      <c r="H233" s="31">
        <f t="shared" si="77"/>
        <v>-132634.31828125002</v>
      </c>
      <c r="I233" s="31">
        <f t="shared" si="77"/>
        <v>138000</v>
      </c>
      <c r="J233" s="31">
        <f t="shared" si="77"/>
        <v>-181602186.12451723</v>
      </c>
      <c r="K233" s="31">
        <f t="shared" si="77"/>
        <v>0</v>
      </c>
      <c r="L233" s="31">
        <f t="shared" si="77"/>
        <v>-37500</v>
      </c>
      <c r="M233" s="31">
        <f t="shared" si="77"/>
        <v>-15107040.170950087</v>
      </c>
      <c r="N233" s="31">
        <f t="shared" si="77"/>
        <v>1077049.110003958</v>
      </c>
      <c r="O233" s="31">
        <f t="shared" si="77"/>
        <v>0</v>
      </c>
      <c r="P233" s="31">
        <f t="shared" si="77"/>
        <v>-195669677.18546334</v>
      </c>
    </row>
    <row r="234" spans="1:16" s="34" customFormat="1" ht="26.4" x14ac:dyDescent="0.3">
      <c r="A234" s="24" t="s">
        <v>145</v>
      </c>
      <c r="B234" s="25" t="s">
        <v>146</v>
      </c>
      <c r="C234" s="24" t="s">
        <v>38</v>
      </c>
      <c r="D234" s="24" t="s">
        <v>21</v>
      </c>
      <c r="E234" s="24" t="s">
        <v>21</v>
      </c>
      <c r="F234" s="24" t="s">
        <v>239</v>
      </c>
      <c r="G234" s="38">
        <v>-11556938.168074789</v>
      </c>
      <c r="H234" s="38"/>
      <c r="I234" s="38"/>
      <c r="J234" s="38">
        <f t="shared" si="69"/>
        <v>-11556938.168074789</v>
      </c>
      <c r="K234" s="24"/>
      <c r="L234" s="24"/>
      <c r="M234" s="38">
        <v>-1424396.2382267932</v>
      </c>
      <c r="N234" s="38">
        <v>125244.64588217554</v>
      </c>
      <c r="O234" s="24"/>
      <c r="P234" s="38">
        <f t="shared" si="70"/>
        <v>-12856089.760419406</v>
      </c>
    </row>
    <row r="235" spans="1:16" s="34" customFormat="1" ht="13.2" x14ac:dyDescent="0.3">
      <c r="A235" s="24"/>
      <c r="B235" s="25"/>
      <c r="C235" s="24" t="s">
        <v>38</v>
      </c>
      <c r="D235" s="24" t="s">
        <v>45</v>
      </c>
      <c r="E235" s="24" t="s">
        <v>46</v>
      </c>
      <c r="F235" s="24" t="s">
        <v>7</v>
      </c>
      <c r="G235" s="38">
        <v>-59091.055999840013</v>
      </c>
      <c r="H235" s="38">
        <v>-5476.9956249999959</v>
      </c>
      <c r="I235" s="38"/>
      <c r="J235" s="38">
        <f t="shared" si="69"/>
        <v>-64568.051624840009</v>
      </c>
      <c r="K235" s="24"/>
      <c r="L235" s="24"/>
      <c r="M235" s="38">
        <v>-42109.435374620007</v>
      </c>
      <c r="N235" s="38"/>
      <c r="O235" s="24"/>
      <c r="P235" s="38">
        <f t="shared" si="70"/>
        <v>-106677.48699946002</v>
      </c>
    </row>
    <row r="236" spans="1:16" s="34" customFormat="1" ht="13.2" x14ac:dyDescent="0.3">
      <c r="A236" s="24"/>
      <c r="B236" s="25"/>
      <c r="C236" s="24" t="s">
        <v>38</v>
      </c>
      <c r="D236" s="24" t="s">
        <v>47</v>
      </c>
      <c r="E236" s="24" t="s">
        <v>48</v>
      </c>
      <c r="F236" s="24" t="s">
        <v>7</v>
      </c>
      <c r="G236" s="38">
        <v>-6826.3066824990565</v>
      </c>
      <c r="H236" s="38"/>
      <c r="I236" s="38"/>
      <c r="J236" s="38">
        <f t="shared" si="69"/>
        <v>-6826.3066824990565</v>
      </c>
      <c r="K236" s="24"/>
      <c r="L236" s="24"/>
      <c r="M236" s="38">
        <v>-5932.6781145867772</v>
      </c>
      <c r="N236" s="38"/>
      <c r="O236" s="24"/>
      <c r="P236" s="38">
        <f t="shared" si="70"/>
        <v>-12758.984797085834</v>
      </c>
    </row>
    <row r="237" spans="1:16" s="34" customFormat="1" ht="13.2" x14ac:dyDescent="0.3">
      <c r="A237" s="24"/>
      <c r="B237" s="25"/>
      <c r="C237" s="24" t="s">
        <v>38</v>
      </c>
      <c r="D237" s="24" t="s">
        <v>137</v>
      </c>
      <c r="E237" s="24" t="s">
        <v>138</v>
      </c>
      <c r="F237" s="24" t="s">
        <v>7</v>
      </c>
      <c r="G237" s="38">
        <v>-20000</v>
      </c>
      <c r="H237" s="38"/>
      <c r="I237" s="38"/>
      <c r="J237" s="38">
        <f t="shared" si="69"/>
        <v>-20000</v>
      </c>
      <c r="K237" s="24"/>
      <c r="L237" s="24"/>
      <c r="M237" s="38"/>
      <c r="N237" s="38"/>
      <c r="O237" s="24"/>
      <c r="P237" s="38">
        <f t="shared" si="70"/>
        <v>-20000</v>
      </c>
    </row>
    <row r="238" spans="1:16" s="34" customFormat="1" ht="13.2" x14ac:dyDescent="0.3">
      <c r="A238" s="24"/>
      <c r="B238" s="25"/>
      <c r="C238" s="24" t="s">
        <v>38</v>
      </c>
      <c r="D238" s="24" t="s">
        <v>261</v>
      </c>
      <c r="E238" s="24" t="s">
        <v>262</v>
      </c>
      <c r="F238" s="24" t="s">
        <v>7</v>
      </c>
      <c r="G238" s="38">
        <v>0</v>
      </c>
      <c r="H238" s="38">
        <v>-14420.948826250005</v>
      </c>
      <c r="I238" s="38"/>
      <c r="J238" s="38">
        <f t="shared" si="69"/>
        <v>-14420.948826250005</v>
      </c>
      <c r="K238" s="24"/>
      <c r="L238" s="24"/>
      <c r="M238" s="38">
        <v>-6640.1074316971935</v>
      </c>
      <c r="N238" s="38"/>
      <c r="O238" s="24"/>
      <c r="P238" s="38">
        <f t="shared" si="70"/>
        <v>-21061.056257947199</v>
      </c>
    </row>
    <row r="239" spans="1:16" s="34" customFormat="1" ht="13.2" x14ac:dyDescent="0.3">
      <c r="A239" s="24"/>
      <c r="B239" s="25"/>
      <c r="C239" s="24" t="s">
        <v>38</v>
      </c>
      <c r="D239" s="24" t="s">
        <v>313</v>
      </c>
      <c r="E239" s="24" t="s">
        <v>314</v>
      </c>
      <c r="F239" s="24" t="s">
        <v>7</v>
      </c>
      <c r="G239" s="38"/>
      <c r="H239" s="38"/>
      <c r="I239" s="38"/>
      <c r="J239" s="38">
        <f t="shared" ref="J239" si="78">+G239+H239+I239</f>
        <v>0</v>
      </c>
      <c r="K239" s="24"/>
      <c r="L239" s="38">
        <f>-2500*5</f>
        <v>-12500</v>
      </c>
      <c r="M239" s="38"/>
      <c r="N239" s="38"/>
      <c r="O239" s="24"/>
      <c r="P239" s="38">
        <f t="shared" si="70"/>
        <v>-12500</v>
      </c>
    </row>
    <row r="240" spans="1:16" s="34" customFormat="1" ht="13.2" x14ac:dyDescent="0.3">
      <c r="A240" s="24"/>
      <c r="B240" s="25"/>
      <c r="C240" s="24" t="s">
        <v>38</v>
      </c>
      <c r="D240" s="24" t="s">
        <v>273</v>
      </c>
      <c r="E240" s="24" t="s">
        <v>274</v>
      </c>
      <c r="F240" s="24" t="s">
        <v>7</v>
      </c>
      <c r="G240" s="38">
        <v>0</v>
      </c>
      <c r="H240" s="38">
        <v>-76000</v>
      </c>
      <c r="I240" s="38"/>
      <c r="J240" s="38">
        <f t="shared" si="69"/>
        <v>-76000</v>
      </c>
      <c r="K240" s="24"/>
      <c r="L240" s="24"/>
      <c r="M240" s="38">
        <v>76000.000010000003</v>
      </c>
      <c r="N240" s="38"/>
      <c r="O240" s="24"/>
      <c r="P240" s="38">
        <f t="shared" si="70"/>
        <v>1.0000003385357559E-5</v>
      </c>
    </row>
    <row r="241" spans="1:16" s="34" customFormat="1" ht="13.2" x14ac:dyDescent="0.3">
      <c r="A241" s="24"/>
      <c r="B241" s="25"/>
      <c r="C241" s="24" t="s">
        <v>96</v>
      </c>
      <c r="D241" s="24" t="s">
        <v>21</v>
      </c>
      <c r="E241" s="24" t="s">
        <v>21</v>
      </c>
      <c r="F241" s="24" t="s">
        <v>240</v>
      </c>
      <c r="G241" s="38">
        <v>-826393.86077160831</v>
      </c>
      <c r="H241" s="38"/>
      <c r="I241" s="38"/>
      <c r="J241" s="38">
        <f t="shared" si="69"/>
        <v>-826393.86077160831</v>
      </c>
      <c r="K241" s="24"/>
      <c r="L241" s="24"/>
      <c r="M241" s="38"/>
      <c r="N241" s="38">
        <v>220525.35201999999</v>
      </c>
      <c r="O241" s="24"/>
      <c r="P241" s="38">
        <f t="shared" si="70"/>
        <v>-605868.50875160831</v>
      </c>
    </row>
    <row r="242" spans="1:16" s="34" customFormat="1" ht="13.2" x14ac:dyDescent="0.3">
      <c r="A242" s="24"/>
      <c r="B242" s="25"/>
      <c r="C242" s="24" t="s">
        <v>32</v>
      </c>
      <c r="D242" s="24" t="s">
        <v>21</v>
      </c>
      <c r="E242" s="24" t="s">
        <v>21</v>
      </c>
      <c r="F242" s="24" t="s">
        <v>7</v>
      </c>
      <c r="G242" s="38">
        <v>-591996.086087398</v>
      </c>
      <c r="H242" s="38"/>
      <c r="I242" s="38"/>
      <c r="J242" s="38">
        <f t="shared" si="69"/>
        <v>-591996.086087398</v>
      </c>
      <c r="K242" s="24"/>
      <c r="L242" s="24"/>
      <c r="M242" s="38"/>
      <c r="N242" s="38"/>
      <c r="O242" s="24"/>
      <c r="P242" s="38">
        <f t="shared" si="70"/>
        <v>-591996.086087398</v>
      </c>
    </row>
    <row r="243" spans="1:16" s="34" customFormat="1" ht="13.2" x14ac:dyDescent="0.3">
      <c r="A243" s="24"/>
      <c r="B243" s="25"/>
      <c r="C243" s="24" t="s">
        <v>35</v>
      </c>
      <c r="D243" s="24" t="s">
        <v>21</v>
      </c>
      <c r="E243" s="24" t="s">
        <v>21</v>
      </c>
      <c r="F243" s="24" t="s">
        <v>240</v>
      </c>
      <c r="G243" s="38">
        <v>-9762909.7789999992</v>
      </c>
      <c r="H243" s="38"/>
      <c r="I243" s="38"/>
      <c r="J243" s="38">
        <f t="shared" si="69"/>
        <v>-9762909.7789999992</v>
      </c>
      <c r="K243" s="24"/>
      <c r="L243" s="24"/>
      <c r="M243" s="38"/>
      <c r="N243" s="38">
        <v>654468.00001999992</v>
      </c>
      <c r="O243" s="24"/>
      <c r="P243" s="38">
        <f t="shared" si="70"/>
        <v>-9108441.7789799999</v>
      </c>
    </row>
    <row r="244" spans="1:16" s="34" customFormat="1" ht="13.2" x14ac:dyDescent="0.3">
      <c r="A244" s="24"/>
      <c r="B244" s="25"/>
      <c r="C244" s="24" t="s">
        <v>35</v>
      </c>
      <c r="D244" s="24" t="s">
        <v>87</v>
      </c>
      <c r="E244" s="24" t="s">
        <v>88</v>
      </c>
      <c r="F244" s="24" t="s">
        <v>99</v>
      </c>
      <c r="G244" s="38">
        <v>-3180725</v>
      </c>
      <c r="H244" s="38"/>
      <c r="I244" s="38"/>
      <c r="J244" s="38">
        <f t="shared" si="69"/>
        <v>-3180725</v>
      </c>
      <c r="K244" s="24"/>
      <c r="L244" s="24"/>
      <c r="M244" s="38"/>
      <c r="N244" s="38"/>
      <c r="O244" s="24"/>
      <c r="P244" s="38">
        <f t="shared" si="70"/>
        <v>-3180725</v>
      </c>
    </row>
    <row r="245" spans="1:16" s="34" customFormat="1" ht="13.2" x14ac:dyDescent="0.3">
      <c r="A245" s="24"/>
      <c r="B245" s="25"/>
      <c r="C245" s="24" t="s">
        <v>51</v>
      </c>
      <c r="D245" s="24" t="s">
        <v>21</v>
      </c>
      <c r="E245" s="24" t="s">
        <v>21</v>
      </c>
      <c r="F245" s="24" t="s">
        <v>8</v>
      </c>
      <c r="G245" s="38">
        <v>-138680.55086827869</v>
      </c>
      <c r="H245" s="38"/>
      <c r="I245" s="38"/>
      <c r="J245" s="38">
        <f t="shared" si="69"/>
        <v>-138680.55086827869</v>
      </c>
      <c r="K245" s="24"/>
      <c r="L245" s="24"/>
      <c r="M245" s="38"/>
      <c r="N245" s="38">
        <v>11075.338815901599</v>
      </c>
      <c r="O245" s="24"/>
      <c r="P245" s="38">
        <f t="shared" si="70"/>
        <v>-127605.21205237709</v>
      </c>
    </row>
    <row r="246" spans="1:16" s="34" customFormat="1" ht="26.4" x14ac:dyDescent="0.3">
      <c r="A246" s="24" t="s">
        <v>147</v>
      </c>
      <c r="B246" s="25" t="s">
        <v>148</v>
      </c>
      <c r="C246" s="24" t="s">
        <v>38</v>
      </c>
      <c r="D246" s="24" t="s">
        <v>21</v>
      </c>
      <c r="E246" s="24" t="s">
        <v>21</v>
      </c>
      <c r="F246" s="24" t="s">
        <v>239</v>
      </c>
      <c r="G246" s="38">
        <v>-16813544.697361238</v>
      </c>
      <c r="H246" s="38"/>
      <c r="I246" s="38">
        <f>138000</f>
        <v>138000</v>
      </c>
      <c r="J246" s="38">
        <f t="shared" si="69"/>
        <v>-16675544.697361238</v>
      </c>
      <c r="K246" s="24"/>
      <c r="L246" s="24"/>
      <c r="M246" s="38">
        <v>-9224383.3997511882</v>
      </c>
      <c r="N246" s="38">
        <v>38013.018665411058</v>
      </c>
      <c r="O246" s="24"/>
      <c r="P246" s="38">
        <f t="shared" si="70"/>
        <v>-25861915.078447014</v>
      </c>
    </row>
    <row r="247" spans="1:16" s="34" customFormat="1" ht="13.2" x14ac:dyDescent="0.3">
      <c r="A247" s="24"/>
      <c r="B247" s="25"/>
      <c r="C247" s="24" t="s">
        <v>38</v>
      </c>
      <c r="D247" s="24" t="s">
        <v>275</v>
      </c>
      <c r="E247" s="24" t="s">
        <v>276</v>
      </c>
      <c r="F247" s="24" t="s">
        <v>7</v>
      </c>
      <c r="G247" s="38">
        <v>0</v>
      </c>
      <c r="H247" s="38">
        <v>-15000</v>
      </c>
      <c r="I247" s="38"/>
      <c r="J247" s="38">
        <f t="shared" si="69"/>
        <v>-15000</v>
      </c>
      <c r="K247" s="24"/>
      <c r="L247" s="24"/>
      <c r="M247" s="38"/>
      <c r="N247" s="38"/>
      <c r="O247" s="24"/>
      <c r="P247" s="38">
        <f t="shared" si="70"/>
        <v>-15000</v>
      </c>
    </row>
    <row r="248" spans="1:16" s="34" customFormat="1" ht="13.2" x14ac:dyDescent="0.3">
      <c r="A248" s="24"/>
      <c r="B248" s="25"/>
      <c r="C248" s="24" t="s">
        <v>38</v>
      </c>
      <c r="D248" s="24" t="s">
        <v>45</v>
      </c>
      <c r="E248" s="24" t="s">
        <v>46</v>
      </c>
      <c r="F248" s="24" t="s">
        <v>7</v>
      </c>
      <c r="G248" s="38">
        <v>-22159.145999940003</v>
      </c>
      <c r="H248" s="38">
        <v>-6605</v>
      </c>
      <c r="I248" s="38"/>
      <c r="J248" s="38">
        <f t="shared" si="69"/>
        <v>-28764.145999940003</v>
      </c>
      <c r="K248" s="24"/>
      <c r="L248" s="24"/>
      <c r="M248" s="38">
        <v>1913.2575501200008</v>
      </c>
      <c r="N248" s="38"/>
      <c r="O248" s="24"/>
      <c r="P248" s="38">
        <f t="shared" si="70"/>
        <v>-26850.888449820002</v>
      </c>
    </row>
    <row r="249" spans="1:16" s="34" customFormat="1" ht="13.2" x14ac:dyDescent="0.3">
      <c r="A249" s="24"/>
      <c r="B249" s="25"/>
      <c r="C249" s="24" t="s">
        <v>38</v>
      </c>
      <c r="D249" s="24" t="s">
        <v>47</v>
      </c>
      <c r="E249" s="24" t="s">
        <v>48</v>
      </c>
      <c r="F249" s="24" t="s">
        <v>7</v>
      </c>
      <c r="G249" s="38">
        <v>-29835.480517111453</v>
      </c>
      <c r="H249" s="38"/>
      <c r="I249" s="38"/>
      <c r="J249" s="38">
        <f t="shared" si="69"/>
        <v>-29835.480517111453</v>
      </c>
      <c r="K249" s="24"/>
      <c r="L249" s="24"/>
      <c r="M249" s="38">
        <v>-1455.5912744424418</v>
      </c>
      <c r="N249" s="38"/>
      <c r="O249" s="24"/>
      <c r="P249" s="38">
        <f t="shared" si="70"/>
        <v>-31291.071791553895</v>
      </c>
    </row>
    <row r="250" spans="1:16" s="34" customFormat="1" ht="13.2" x14ac:dyDescent="0.3">
      <c r="A250" s="24"/>
      <c r="B250" s="25"/>
      <c r="C250" s="24" t="s">
        <v>38</v>
      </c>
      <c r="D250" s="24" t="s">
        <v>137</v>
      </c>
      <c r="E250" s="24" t="s">
        <v>138</v>
      </c>
      <c r="F250" s="24" t="s">
        <v>7</v>
      </c>
      <c r="G250" s="38">
        <v>-35000</v>
      </c>
      <c r="H250" s="38"/>
      <c r="I250" s="38"/>
      <c r="J250" s="38">
        <f t="shared" si="69"/>
        <v>-35000</v>
      </c>
      <c r="K250" s="24"/>
      <c r="L250" s="24"/>
      <c r="M250" s="38"/>
      <c r="N250" s="38"/>
      <c r="O250" s="24"/>
      <c r="P250" s="38">
        <f t="shared" si="70"/>
        <v>-35000</v>
      </c>
    </row>
    <row r="251" spans="1:16" s="34" customFormat="1" ht="13.2" x14ac:dyDescent="0.3">
      <c r="A251" s="24"/>
      <c r="B251" s="25"/>
      <c r="C251" s="24" t="s">
        <v>38</v>
      </c>
      <c r="D251" s="24" t="s">
        <v>261</v>
      </c>
      <c r="E251" s="24" t="s">
        <v>262</v>
      </c>
      <c r="F251" s="24" t="s">
        <v>7</v>
      </c>
      <c r="G251" s="38">
        <v>0</v>
      </c>
      <c r="H251" s="38">
        <v>-9304.9161600000025</v>
      </c>
      <c r="I251" s="38"/>
      <c r="J251" s="38">
        <f t="shared" si="69"/>
        <v>-9304.9161600000025</v>
      </c>
      <c r="K251" s="24"/>
      <c r="L251" s="24"/>
      <c r="M251" s="38">
        <v>-3270.7875735055695</v>
      </c>
      <c r="N251" s="38"/>
      <c r="O251" s="24"/>
      <c r="P251" s="38">
        <f t="shared" si="70"/>
        <v>-12575.703733505572</v>
      </c>
    </row>
    <row r="252" spans="1:16" s="34" customFormat="1" ht="13.2" x14ac:dyDescent="0.3">
      <c r="A252" s="24"/>
      <c r="B252" s="25"/>
      <c r="C252" s="24" t="s">
        <v>38</v>
      </c>
      <c r="D252" s="24" t="s">
        <v>313</v>
      </c>
      <c r="E252" s="24" t="s">
        <v>314</v>
      </c>
      <c r="F252" s="24" t="s">
        <v>7</v>
      </c>
      <c r="G252" s="38"/>
      <c r="H252" s="38"/>
      <c r="I252" s="38"/>
      <c r="J252" s="38">
        <f t="shared" si="69"/>
        <v>0</v>
      </c>
      <c r="K252" s="24"/>
      <c r="L252" s="38">
        <f>-2500*6</f>
        <v>-15000</v>
      </c>
      <c r="M252" s="38"/>
      <c r="N252" s="38"/>
      <c r="O252" s="24"/>
      <c r="P252" s="38">
        <f t="shared" si="70"/>
        <v>-15000</v>
      </c>
    </row>
    <row r="253" spans="1:16" s="34" customFormat="1" ht="13.2" x14ac:dyDescent="0.3">
      <c r="A253" s="24"/>
      <c r="B253" s="25"/>
      <c r="C253" s="24" t="s">
        <v>96</v>
      </c>
      <c r="D253" s="24" t="s">
        <v>21</v>
      </c>
      <c r="E253" s="24" t="s">
        <v>21</v>
      </c>
      <c r="F253" s="24" t="s">
        <v>242</v>
      </c>
      <c r="G253" s="38">
        <v>-1973868.8098587464</v>
      </c>
      <c r="H253" s="38"/>
      <c r="I253" s="38"/>
      <c r="J253" s="38">
        <f t="shared" si="69"/>
        <v>-1973868.8098587464</v>
      </c>
      <c r="K253" s="24"/>
      <c r="L253" s="24"/>
      <c r="M253" s="38"/>
      <c r="N253" s="38"/>
      <c r="O253" s="24"/>
      <c r="P253" s="38">
        <f t="shared" si="70"/>
        <v>-1973868.8098587464</v>
      </c>
    </row>
    <row r="254" spans="1:16" s="34" customFormat="1" ht="13.2" x14ac:dyDescent="0.3">
      <c r="A254" s="24"/>
      <c r="B254" s="25"/>
      <c r="C254" s="24" t="s">
        <v>32</v>
      </c>
      <c r="D254" s="24" t="s">
        <v>21</v>
      </c>
      <c r="E254" s="24" t="s">
        <v>21</v>
      </c>
      <c r="F254" s="24" t="s">
        <v>7</v>
      </c>
      <c r="G254" s="38">
        <v>-185945.71604827582</v>
      </c>
      <c r="H254" s="38"/>
      <c r="I254" s="38"/>
      <c r="J254" s="38">
        <f t="shared" si="69"/>
        <v>-185945.71604827582</v>
      </c>
      <c r="K254" s="24"/>
      <c r="L254" s="24"/>
      <c r="M254" s="38"/>
      <c r="N254" s="38"/>
      <c r="O254" s="24"/>
      <c r="P254" s="38">
        <f t="shared" si="70"/>
        <v>-185945.71604827582</v>
      </c>
    </row>
    <row r="255" spans="1:16" s="34" customFormat="1" ht="13.2" x14ac:dyDescent="0.3">
      <c r="A255" s="24"/>
      <c r="B255" s="25"/>
      <c r="C255" s="24" t="s">
        <v>35</v>
      </c>
      <c r="D255" s="24" t="s">
        <v>21</v>
      </c>
      <c r="E255" s="24" t="s">
        <v>21</v>
      </c>
      <c r="F255" s="24" t="s">
        <v>240</v>
      </c>
      <c r="G255" s="38">
        <v>-75720844.11349</v>
      </c>
      <c r="H255" s="38"/>
      <c r="I255" s="38"/>
      <c r="J255" s="38">
        <f t="shared" si="69"/>
        <v>-75720844.11349</v>
      </c>
      <c r="K255" s="24"/>
      <c r="L255" s="24"/>
      <c r="M255" s="38"/>
      <c r="N255" s="38"/>
      <c r="O255" s="24"/>
      <c r="P255" s="38">
        <f t="shared" si="70"/>
        <v>-75720844.11349</v>
      </c>
    </row>
    <row r="256" spans="1:16" s="34" customFormat="1" ht="13.2" x14ac:dyDescent="0.3">
      <c r="A256" s="24"/>
      <c r="B256" s="25"/>
      <c r="C256" s="24" t="s">
        <v>35</v>
      </c>
      <c r="D256" s="24" t="s">
        <v>87</v>
      </c>
      <c r="E256" s="24" t="s">
        <v>88</v>
      </c>
      <c r="F256" s="25" t="s">
        <v>243</v>
      </c>
      <c r="G256" s="38">
        <v>-18000000</v>
      </c>
      <c r="H256" s="38"/>
      <c r="I256" s="38"/>
      <c r="J256" s="38">
        <f t="shared" si="69"/>
        <v>-18000000</v>
      </c>
      <c r="K256" s="24"/>
      <c r="L256" s="24"/>
      <c r="M256" s="38"/>
      <c r="N256" s="38"/>
      <c r="O256" s="24"/>
      <c r="P256" s="38">
        <f t="shared" si="70"/>
        <v>-18000000</v>
      </c>
    </row>
    <row r="257" spans="1:16" s="34" customFormat="1" ht="13.2" x14ac:dyDescent="0.3">
      <c r="A257" s="24"/>
      <c r="B257" s="25"/>
      <c r="C257" s="24" t="s">
        <v>35</v>
      </c>
      <c r="D257" s="24" t="s">
        <v>94</v>
      </c>
      <c r="E257" s="24" t="s">
        <v>95</v>
      </c>
      <c r="F257" s="25" t="s">
        <v>243</v>
      </c>
      <c r="G257" s="38">
        <v>-21600000</v>
      </c>
      <c r="H257" s="38"/>
      <c r="I257" s="38"/>
      <c r="J257" s="38">
        <f t="shared" si="69"/>
        <v>-21600000</v>
      </c>
      <c r="K257" s="24"/>
      <c r="L257" s="24"/>
      <c r="M257" s="38"/>
      <c r="N257" s="38"/>
      <c r="O257" s="24"/>
      <c r="P257" s="38">
        <f t="shared" si="70"/>
        <v>-21600000</v>
      </c>
    </row>
    <row r="258" spans="1:16" s="34" customFormat="1" ht="13.2" x14ac:dyDescent="0.3">
      <c r="A258" s="24"/>
      <c r="B258" s="25"/>
      <c r="C258" s="24" t="s">
        <v>51</v>
      </c>
      <c r="D258" s="24" t="s">
        <v>21</v>
      </c>
      <c r="E258" s="24" t="s">
        <v>21</v>
      </c>
      <c r="F258" s="24" t="s">
        <v>8</v>
      </c>
      <c r="G258" s="38">
        <v>-4717.0009020180378</v>
      </c>
      <c r="H258" s="38"/>
      <c r="I258" s="38"/>
      <c r="J258" s="38">
        <f t="shared" si="69"/>
        <v>-4717.0009020180378</v>
      </c>
      <c r="K258" s="24"/>
      <c r="L258" s="24"/>
      <c r="M258" s="38"/>
      <c r="N258" s="38">
        <v>2260.1599263058465</v>
      </c>
      <c r="O258" s="24"/>
      <c r="P258" s="38">
        <f t="shared" si="70"/>
        <v>-2456.8409757121913</v>
      </c>
    </row>
    <row r="259" spans="1:16" s="34" customFormat="1" ht="42.6" customHeight="1" x14ac:dyDescent="0.3">
      <c r="A259" s="24" t="s">
        <v>149</v>
      </c>
      <c r="B259" s="25" t="s">
        <v>150</v>
      </c>
      <c r="C259" s="24" t="s">
        <v>38</v>
      </c>
      <c r="D259" s="24" t="s">
        <v>21</v>
      </c>
      <c r="E259" s="24" t="s">
        <v>21</v>
      </c>
      <c r="F259" s="24" t="s">
        <v>239</v>
      </c>
      <c r="G259" s="38">
        <v>-5659239.8683366487</v>
      </c>
      <c r="H259" s="38"/>
      <c r="I259" s="38"/>
      <c r="J259" s="38">
        <f t="shared" si="69"/>
        <v>-5659239.8683366487</v>
      </c>
      <c r="K259" s="24"/>
      <c r="L259" s="24"/>
      <c r="M259" s="38">
        <v>-1965412.9693294093</v>
      </c>
      <c r="N259" s="38">
        <v>24176.620081653469</v>
      </c>
      <c r="O259" s="24"/>
      <c r="P259" s="38">
        <f t="shared" si="70"/>
        <v>-7600476.2175844042</v>
      </c>
    </row>
    <row r="260" spans="1:16" s="34" customFormat="1" ht="13.2" x14ac:dyDescent="0.3">
      <c r="A260" s="24"/>
      <c r="B260" s="25"/>
      <c r="C260" s="24" t="s">
        <v>38</v>
      </c>
      <c r="D260" s="24" t="s">
        <v>151</v>
      </c>
      <c r="E260" s="24" t="s">
        <v>152</v>
      </c>
      <c r="F260" s="25" t="s">
        <v>243</v>
      </c>
      <c r="G260" s="38">
        <v>-2500000</v>
      </c>
      <c r="H260" s="38"/>
      <c r="I260" s="38"/>
      <c r="J260" s="38">
        <f t="shared" si="69"/>
        <v>-2500000</v>
      </c>
      <c r="K260" s="24"/>
      <c r="L260" s="24"/>
      <c r="M260" s="38">
        <v>-2500000</v>
      </c>
      <c r="N260" s="38"/>
      <c r="O260" s="24"/>
      <c r="P260" s="38">
        <f t="shared" si="70"/>
        <v>-5000000</v>
      </c>
    </row>
    <row r="261" spans="1:16" s="34" customFormat="1" ht="13.2" x14ac:dyDescent="0.3">
      <c r="A261" s="24"/>
      <c r="B261" s="25"/>
      <c r="C261" s="24" t="s">
        <v>38</v>
      </c>
      <c r="D261" s="24" t="s">
        <v>47</v>
      </c>
      <c r="E261" s="24" t="s">
        <v>48</v>
      </c>
      <c r="F261" s="24" t="s">
        <v>7</v>
      </c>
      <c r="G261" s="38">
        <v>-4225.8790783869663</v>
      </c>
      <c r="H261" s="38"/>
      <c r="I261" s="38"/>
      <c r="J261" s="38">
        <f t="shared" si="69"/>
        <v>-4225.8790783869663</v>
      </c>
      <c r="K261" s="24"/>
      <c r="L261" s="24"/>
      <c r="M261" s="38">
        <v>-9406.9875780385501</v>
      </c>
      <c r="N261" s="38"/>
      <c r="O261" s="24"/>
      <c r="P261" s="38">
        <f t="shared" si="70"/>
        <v>-13632.866656425516</v>
      </c>
    </row>
    <row r="262" spans="1:16" s="34" customFormat="1" ht="13.2" x14ac:dyDescent="0.3">
      <c r="A262" s="24"/>
      <c r="B262" s="25"/>
      <c r="C262" s="24" t="s">
        <v>38</v>
      </c>
      <c r="D262" s="24" t="s">
        <v>261</v>
      </c>
      <c r="E262" s="24" t="s">
        <v>262</v>
      </c>
      <c r="F262" s="24" t="s">
        <v>7</v>
      </c>
      <c r="G262" s="38">
        <v>0</v>
      </c>
      <c r="H262" s="38">
        <v>-5826.4576700000016</v>
      </c>
      <c r="I262" s="38"/>
      <c r="J262" s="38">
        <f t="shared" si="69"/>
        <v>-5826.4576700000016</v>
      </c>
      <c r="K262" s="24"/>
      <c r="L262" s="24"/>
      <c r="M262" s="38">
        <v>-1945.233855926791</v>
      </c>
      <c r="N262" s="38"/>
      <c r="O262" s="24"/>
      <c r="P262" s="38">
        <f t="shared" si="70"/>
        <v>-7771.6915259267926</v>
      </c>
    </row>
    <row r="263" spans="1:16" s="34" customFormat="1" ht="13.2" x14ac:dyDescent="0.3">
      <c r="A263" s="24"/>
      <c r="B263" s="25"/>
      <c r="C263" s="24" t="s">
        <v>38</v>
      </c>
      <c r="D263" s="24" t="s">
        <v>313</v>
      </c>
      <c r="E263" s="24" t="s">
        <v>314</v>
      </c>
      <c r="F263" s="24" t="s">
        <v>7</v>
      </c>
      <c r="G263" s="38"/>
      <c r="H263" s="38"/>
      <c r="I263" s="38"/>
      <c r="J263" s="38">
        <f t="shared" ref="J263" si="79">+G263+H263+I263</f>
        <v>0</v>
      </c>
      <c r="K263" s="24"/>
      <c r="L263" s="38">
        <f>-2500*4</f>
        <v>-10000</v>
      </c>
      <c r="M263" s="38"/>
      <c r="N263" s="38"/>
      <c r="O263" s="24"/>
      <c r="P263" s="38">
        <f t="shared" si="70"/>
        <v>-10000</v>
      </c>
    </row>
    <row r="264" spans="1:16" s="34" customFormat="1" ht="13.2" x14ac:dyDescent="0.3">
      <c r="A264" s="24"/>
      <c r="B264" s="25"/>
      <c r="C264" s="24" t="s">
        <v>32</v>
      </c>
      <c r="D264" s="24" t="s">
        <v>21</v>
      </c>
      <c r="E264" s="24" t="s">
        <v>21</v>
      </c>
      <c r="F264" s="24" t="s">
        <v>7</v>
      </c>
      <c r="G264" s="38">
        <v>-114279.29136551725</v>
      </c>
      <c r="H264" s="38"/>
      <c r="I264" s="38"/>
      <c r="J264" s="38">
        <f t="shared" si="69"/>
        <v>-114279.29136551725</v>
      </c>
      <c r="K264" s="24"/>
      <c r="L264" s="24"/>
      <c r="M264" s="38"/>
      <c r="N264" s="38"/>
      <c r="O264" s="24"/>
      <c r="P264" s="38">
        <f t="shared" si="70"/>
        <v>-114279.29136551725</v>
      </c>
    </row>
    <row r="265" spans="1:16" s="34" customFormat="1" ht="13.2" x14ac:dyDescent="0.3">
      <c r="A265" s="24"/>
      <c r="B265" s="25"/>
      <c r="C265" s="24" t="s">
        <v>35</v>
      </c>
      <c r="D265" s="24" t="s">
        <v>21</v>
      </c>
      <c r="E265" s="24" t="s">
        <v>21</v>
      </c>
      <c r="F265" s="24" t="s">
        <v>240</v>
      </c>
      <c r="G265" s="38">
        <v>-12797647.140000001</v>
      </c>
      <c r="H265" s="38"/>
      <c r="I265" s="38"/>
      <c r="J265" s="38">
        <f t="shared" si="69"/>
        <v>-12797647.140000001</v>
      </c>
      <c r="K265" s="24"/>
      <c r="L265" s="24"/>
      <c r="M265" s="38"/>
      <c r="N265" s="38"/>
      <c r="O265" s="24"/>
      <c r="P265" s="38">
        <f t="shared" si="70"/>
        <v>-12797647.140000001</v>
      </c>
    </row>
    <row r="266" spans="1:16" s="34" customFormat="1" ht="13.2" x14ac:dyDescent="0.3">
      <c r="A266" s="24"/>
      <c r="B266" s="25"/>
      <c r="C266" s="24" t="s">
        <v>51</v>
      </c>
      <c r="D266" s="24" t="s">
        <v>21</v>
      </c>
      <c r="E266" s="24" t="s">
        <v>21</v>
      </c>
      <c r="F266" s="24" t="s">
        <v>8</v>
      </c>
      <c r="G266" s="38">
        <v>-2683.8557936735629</v>
      </c>
      <c r="H266" s="38"/>
      <c r="I266" s="38"/>
      <c r="J266" s="38">
        <f t="shared" si="69"/>
        <v>-2683.8557936735629</v>
      </c>
      <c r="K266" s="24"/>
      <c r="L266" s="24"/>
      <c r="M266" s="38"/>
      <c r="N266" s="38">
        <v>1285.9745925105965</v>
      </c>
      <c r="O266" s="24"/>
      <c r="P266" s="38">
        <f t="shared" si="70"/>
        <v>-1397.8812011629664</v>
      </c>
    </row>
    <row r="267" spans="1:16" s="34" customFormat="1" ht="13.2" x14ac:dyDescent="0.3">
      <c r="A267" s="32" t="s">
        <v>153</v>
      </c>
      <c r="B267" s="39"/>
      <c r="C267" s="35"/>
      <c r="D267" s="33"/>
      <c r="E267" s="33"/>
      <c r="F267" s="33"/>
      <c r="G267" s="31">
        <f>+SUBTOTAL(9, G270:G352)</f>
        <v>-311636174.95409232</v>
      </c>
      <c r="H267" s="31">
        <f t="shared" ref="H267:J267" si="80">+SUBTOTAL(9, H270:H352)</f>
        <v>-7557437.8064062493</v>
      </c>
      <c r="I267" s="31">
        <f t="shared" si="80"/>
        <v>6727500</v>
      </c>
      <c r="J267" s="31">
        <f t="shared" si="80"/>
        <v>-312466112.76049852</v>
      </c>
      <c r="K267" s="31">
        <f t="shared" ref="K267:N267" si="81">+SUBTOTAL(9, K270:K352)</f>
        <v>0</v>
      </c>
      <c r="L267" s="31">
        <f t="shared" si="81"/>
        <v>-17500</v>
      </c>
      <c r="M267" s="31">
        <f t="shared" si="81"/>
        <v>-1199192.2823491301</v>
      </c>
      <c r="N267" s="31">
        <f t="shared" si="81"/>
        <v>198678269.28056973</v>
      </c>
      <c r="O267" s="31">
        <f t="shared" ref="O267:P267" si="82">+SUBTOTAL(9, O270:O352)</f>
        <v>0</v>
      </c>
      <c r="P267" s="31">
        <f t="shared" si="82"/>
        <v>-115004535.76227814</v>
      </c>
    </row>
    <row r="268" spans="1:16" s="34" customFormat="1" ht="13.2" x14ac:dyDescent="0.3">
      <c r="A268" s="32" t="s">
        <v>154</v>
      </c>
      <c r="B268" s="39"/>
      <c r="C268" s="35"/>
      <c r="D268" s="33"/>
      <c r="E268" s="33"/>
      <c r="F268" s="33"/>
      <c r="G268" s="31">
        <f>+SUBTOTAL(9, G270:G352)</f>
        <v>-311636174.95409232</v>
      </c>
      <c r="H268" s="31">
        <f t="shared" ref="H268:J268" si="83">+SUBTOTAL(9, H270:H352)</f>
        <v>-7557437.8064062493</v>
      </c>
      <c r="I268" s="31">
        <f t="shared" si="83"/>
        <v>6727500</v>
      </c>
      <c r="J268" s="31">
        <f t="shared" si="83"/>
        <v>-312466112.76049852</v>
      </c>
      <c r="K268" s="31">
        <f t="shared" ref="K268:N268" si="84">+SUBTOTAL(9, K270:K352)</f>
        <v>0</v>
      </c>
      <c r="L268" s="31">
        <f t="shared" si="84"/>
        <v>-17500</v>
      </c>
      <c r="M268" s="31">
        <f t="shared" si="84"/>
        <v>-1199192.2823491301</v>
      </c>
      <c r="N268" s="31">
        <f t="shared" si="84"/>
        <v>198678269.28056973</v>
      </c>
      <c r="O268" s="31">
        <f t="shared" ref="O268:P268" si="85">+SUBTOTAL(9, O270:O352)</f>
        <v>0</v>
      </c>
      <c r="P268" s="31">
        <f t="shared" si="85"/>
        <v>-115004535.76227814</v>
      </c>
    </row>
    <row r="269" spans="1:16" s="34" customFormat="1" ht="13.2" x14ac:dyDescent="0.3">
      <c r="A269" s="86" t="s">
        <v>114</v>
      </c>
      <c r="B269" s="86"/>
      <c r="C269" s="35"/>
      <c r="D269" s="33"/>
      <c r="E269" s="33"/>
      <c r="F269" s="33"/>
      <c r="G269" s="31">
        <f>+SUBTOTAL(9, G270:G274)</f>
        <v>-12273198</v>
      </c>
      <c r="H269" s="31">
        <f t="shared" ref="H269:J269" si="86">+SUBTOTAL(9, H270:H274)</f>
        <v>-326545</v>
      </c>
      <c r="I269" s="31">
        <f t="shared" si="86"/>
        <v>541695</v>
      </c>
      <c r="J269" s="31">
        <f t="shared" si="86"/>
        <v>-12058048</v>
      </c>
      <c r="K269" s="31">
        <f t="shared" ref="K269:N269" si="87">+SUBTOTAL(9, K270:K274)</f>
        <v>0</v>
      </c>
      <c r="L269" s="31">
        <f t="shared" si="87"/>
        <v>0</v>
      </c>
      <c r="M269" s="31">
        <f t="shared" si="87"/>
        <v>0</v>
      </c>
      <c r="N269" s="31">
        <f t="shared" si="87"/>
        <v>8647626.9100199994</v>
      </c>
      <c r="O269" s="31">
        <f t="shared" ref="O269:P269" si="88">+SUBTOTAL(9, O270:O274)</f>
        <v>0</v>
      </c>
      <c r="P269" s="31">
        <f t="shared" si="88"/>
        <v>-3410421.0899800006</v>
      </c>
    </row>
    <row r="270" spans="1:16" s="34" customFormat="1" ht="13.2" x14ac:dyDescent="0.3">
      <c r="A270" s="24" t="s">
        <v>155</v>
      </c>
      <c r="B270" s="25" t="s">
        <v>156</v>
      </c>
      <c r="C270" s="24" t="s">
        <v>38</v>
      </c>
      <c r="D270" s="24" t="s">
        <v>87</v>
      </c>
      <c r="E270" s="24" t="s">
        <v>88</v>
      </c>
      <c r="F270" s="24" t="s">
        <v>244</v>
      </c>
      <c r="G270" s="38">
        <v>-140700</v>
      </c>
      <c r="H270" s="38"/>
      <c r="I270" s="38">
        <v>140700</v>
      </c>
      <c r="J270" s="38">
        <f t="shared" si="69"/>
        <v>0</v>
      </c>
      <c r="K270" s="24"/>
      <c r="L270" s="24"/>
      <c r="M270" s="38"/>
      <c r="N270" s="24"/>
      <c r="O270" s="24"/>
      <c r="P270" s="38">
        <f t="shared" si="70"/>
        <v>0</v>
      </c>
    </row>
    <row r="271" spans="1:16" s="34" customFormat="1" ht="13.2" x14ac:dyDescent="0.3">
      <c r="A271" s="24"/>
      <c r="B271" s="25"/>
      <c r="C271" s="24" t="s">
        <v>38</v>
      </c>
      <c r="D271" s="24" t="s">
        <v>157</v>
      </c>
      <c r="E271" s="24" t="s">
        <v>158</v>
      </c>
      <c r="F271" s="24" t="s">
        <v>244</v>
      </c>
      <c r="G271" s="38">
        <v>-400995</v>
      </c>
      <c r="H271" s="38"/>
      <c r="I271" s="38">
        <v>400995</v>
      </c>
      <c r="J271" s="38">
        <f t="shared" si="69"/>
        <v>0</v>
      </c>
      <c r="K271" s="24"/>
      <c r="L271" s="24"/>
      <c r="M271" s="38"/>
      <c r="N271" s="24"/>
      <c r="O271" s="24"/>
      <c r="P271" s="38">
        <f t="shared" si="70"/>
        <v>0</v>
      </c>
    </row>
    <row r="272" spans="1:16" s="34" customFormat="1" ht="13.2" x14ac:dyDescent="0.3">
      <c r="A272" s="24"/>
      <c r="B272" s="25"/>
      <c r="C272" s="24" t="s">
        <v>38</v>
      </c>
      <c r="D272" s="24" t="s">
        <v>277</v>
      </c>
      <c r="E272" s="24" t="s">
        <v>278</v>
      </c>
      <c r="F272" s="24" t="s">
        <v>6</v>
      </c>
      <c r="G272" s="38">
        <v>0</v>
      </c>
      <c r="H272" s="38">
        <v>-326545</v>
      </c>
      <c r="I272" s="38"/>
      <c r="J272" s="38">
        <f t="shared" si="69"/>
        <v>-326545</v>
      </c>
      <c r="K272" s="24"/>
      <c r="L272" s="24"/>
      <c r="M272" s="38"/>
      <c r="N272" s="24"/>
      <c r="O272" s="24"/>
      <c r="P272" s="38">
        <f t="shared" si="70"/>
        <v>-326545</v>
      </c>
    </row>
    <row r="273" spans="1:16" s="34" customFormat="1" ht="13.2" x14ac:dyDescent="0.3">
      <c r="A273" s="24"/>
      <c r="B273" s="24"/>
      <c r="C273" s="24" t="s">
        <v>32</v>
      </c>
      <c r="D273" s="24" t="s">
        <v>159</v>
      </c>
      <c r="E273" s="24" t="s">
        <v>160</v>
      </c>
      <c r="F273" s="24" t="s">
        <v>6</v>
      </c>
      <c r="G273" s="38">
        <v>-11569503</v>
      </c>
      <c r="H273" s="38"/>
      <c r="I273" s="38"/>
      <c r="J273" s="38">
        <f t="shared" si="69"/>
        <v>-11569503</v>
      </c>
      <c r="K273" s="24"/>
      <c r="L273" s="24"/>
      <c r="M273" s="38"/>
      <c r="N273" s="38">
        <v>8647626.9100199994</v>
      </c>
      <c r="O273" s="24"/>
      <c r="P273" s="38">
        <f t="shared" si="70"/>
        <v>-2921876.0899800006</v>
      </c>
    </row>
    <row r="274" spans="1:16" s="34" customFormat="1" ht="13.2" x14ac:dyDescent="0.3">
      <c r="A274" s="24"/>
      <c r="B274" s="25"/>
      <c r="C274" s="24" t="s">
        <v>32</v>
      </c>
      <c r="D274" s="24" t="s">
        <v>161</v>
      </c>
      <c r="E274" s="24" t="s">
        <v>162</v>
      </c>
      <c r="F274" s="24" t="s">
        <v>225</v>
      </c>
      <c r="G274" s="38">
        <v>-162000</v>
      </c>
      <c r="H274" s="38"/>
      <c r="I274" s="38"/>
      <c r="J274" s="38">
        <f t="shared" si="69"/>
        <v>-162000</v>
      </c>
      <c r="K274" s="24"/>
      <c r="L274" s="24"/>
      <c r="M274" s="38"/>
      <c r="N274" s="24"/>
      <c r="O274" s="24"/>
      <c r="P274" s="38">
        <f t="shared" si="70"/>
        <v>-162000</v>
      </c>
    </row>
    <row r="275" spans="1:16" s="34" customFormat="1" ht="13.2" x14ac:dyDescent="0.3">
      <c r="A275" s="84" t="s">
        <v>42</v>
      </c>
      <c r="B275" s="84"/>
      <c r="C275" s="35"/>
      <c r="D275" s="33"/>
      <c r="E275" s="33"/>
      <c r="F275" s="33"/>
      <c r="G275" s="31">
        <f t="shared" ref="G275:P275" si="89">+SUBTOTAL(9, G276:G352)</f>
        <v>-299362976.95409238</v>
      </c>
      <c r="H275" s="31">
        <f t="shared" si="89"/>
        <v>-7230892.8064062493</v>
      </c>
      <c r="I275" s="31">
        <f t="shared" si="89"/>
        <v>6185805</v>
      </c>
      <c r="J275" s="31">
        <f t="shared" si="89"/>
        <v>-300408064.76049864</v>
      </c>
      <c r="K275" s="31">
        <f t="shared" si="89"/>
        <v>0</v>
      </c>
      <c r="L275" s="31">
        <f t="shared" si="89"/>
        <v>-17500</v>
      </c>
      <c r="M275" s="31">
        <f t="shared" si="89"/>
        <v>-1199192.2823491301</v>
      </c>
      <c r="N275" s="31">
        <f t="shared" si="89"/>
        <v>190030642.37054968</v>
      </c>
      <c r="O275" s="31">
        <f t="shared" si="89"/>
        <v>0</v>
      </c>
      <c r="P275" s="31">
        <f t="shared" si="89"/>
        <v>-111594114.67229813</v>
      </c>
    </row>
    <row r="276" spans="1:16" s="34" customFormat="1" ht="26.4" x14ac:dyDescent="0.3">
      <c r="A276" s="24" t="s">
        <v>163</v>
      </c>
      <c r="B276" s="25" t="s">
        <v>164</v>
      </c>
      <c r="C276" s="24" t="s">
        <v>38</v>
      </c>
      <c r="D276" s="24" t="s">
        <v>21</v>
      </c>
      <c r="E276" s="24" t="s">
        <v>21</v>
      </c>
      <c r="F276" s="24" t="s">
        <v>7</v>
      </c>
      <c r="G276" s="38">
        <v>-211937.40150019014</v>
      </c>
      <c r="H276" s="38"/>
      <c r="I276" s="38"/>
      <c r="J276" s="38">
        <f t="shared" si="69"/>
        <v>-211937.40150019014</v>
      </c>
      <c r="K276" s="24"/>
      <c r="L276" s="24"/>
      <c r="M276" s="38">
        <v>-40018.045108826831</v>
      </c>
      <c r="N276" s="38">
        <v>147258.32561941954</v>
      </c>
      <c r="O276" s="24"/>
      <c r="P276" s="38">
        <f t="shared" si="70"/>
        <v>-104697.12098959743</v>
      </c>
    </row>
    <row r="277" spans="1:16" s="34" customFormat="1" ht="13.2" x14ac:dyDescent="0.3">
      <c r="A277" s="24"/>
      <c r="B277" s="25"/>
      <c r="C277" s="24" t="s">
        <v>38</v>
      </c>
      <c r="D277" s="24" t="s">
        <v>165</v>
      </c>
      <c r="E277" s="24" t="s">
        <v>166</v>
      </c>
      <c r="F277" s="24" t="s">
        <v>245</v>
      </c>
      <c r="G277" s="38">
        <v>-800000</v>
      </c>
      <c r="H277" s="38"/>
      <c r="I277" s="38"/>
      <c r="J277" s="38">
        <f t="shared" si="69"/>
        <v>-800000</v>
      </c>
      <c r="K277" s="24"/>
      <c r="L277" s="24"/>
      <c r="M277" s="38"/>
      <c r="N277" s="38">
        <v>649064.00000999996</v>
      </c>
      <c r="O277" s="24"/>
      <c r="P277" s="38">
        <f t="shared" si="70"/>
        <v>-150935.99999000004</v>
      </c>
    </row>
    <row r="278" spans="1:16" s="34" customFormat="1" ht="13.2" x14ac:dyDescent="0.3">
      <c r="A278" s="24"/>
      <c r="B278" s="25"/>
      <c r="C278" s="24" t="s">
        <v>38</v>
      </c>
      <c r="D278" s="24" t="s">
        <v>167</v>
      </c>
      <c r="E278" s="24" t="s">
        <v>168</v>
      </c>
      <c r="F278" s="24" t="s">
        <v>245</v>
      </c>
      <c r="G278" s="38">
        <v>-800000</v>
      </c>
      <c r="H278" s="38"/>
      <c r="I278" s="38"/>
      <c r="J278" s="38">
        <f t="shared" si="69"/>
        <v>-800000</v>
      </c>
      <c r="K278" s="24"/>
      <c r="L278" s="24"/>
      <c r="N278" s="38">
        <v>709155.00000999996</v>
      </c>
      <c r="O278" s="24"/>
      <c r="P278" s="38">
        <f t="shared" si="70"/>
        <v>-90844.99999000004</v>
      </c>
    </row>
    <row r="279" spans="1:16" s="34" customFormat="1" ht="13.2" x14ac:dyDescent="0.3">
      <c r="A279" s="24"/>
      <c r="B279" s="25"/>
      <c r="C279" s="24" t="s">
        <v>38</v>
      </c>
      <c r="D279" s="24" t="s">
        <v>279</v>
      </c>
      <c r="E279" s="24" t="s">
        <v>280</v>
      </c>
      <c r="F279" s="24" t="s">
        <v>7</v>
      </c>
      <c r="G279" s="38">
        <v>0</v>
      </c>
      <c r="H279" s="38">
        <v>-1100056</v>
      </c>
      <c r="I279" s="38"/>
      <c r="J279" s="38">
        <f t="shared" si="69"/>
        <v>-1100056</v>
      </c>
      <c r="K279" s="24"/>
      <c r="L279" s="24"/>
      <c r="M279" s="38">
        <v>-46251.199999999953</v>
      </c>
      <c r="N279" s="38"/>
      <c r="O279" s="24"/>
      <c r="P279" s="38">
        <f t="shared" si="70"/>
        <v>-1146307.2</v>
      </c>
    </row>
    <row r="280" spans="1:16" s="34" customFormat="1" ht="13.2" x14ac:dyDescent="0.3">
      <c r="A280" s="24"/>
      <c r="B280" s="25"/>
      <c r="C280" s="24" t="s">
        <v>38</v>
      </c>
      <c r="D280" s="24" t="s">
        <v>45</v>
      </c>
      <c r="E280" s="24" t="s">
        <v>46</v>
      </c>
      <c r="F280" s="24" t="s">
        <v>7</v>
      </c>
      <c r="G280" s="38">
        <v>-109056.6</v>
      </c>
      <c r="H280" s="38">
        <v>-13581</v>
      </c>
      <c r="I280" s="38"/>
      <c r="J280" s="38">
        <f t="shared" si="69"/>
        <v>-122637.6</v>
      </c>
      <c r="K280" s="24"/>
      <c r="L280" s="24"/>
      <c r="M280" s="38"/>
      <c r="N280" s="38">
        <v>45143.100001799998</v>
      </c>
      <c r="O280" s="24"/>
      <c r="P280" s="38">
        <f t="shared" si="70"/>
        <v>-77494.499998200015</v>
      </c>
    </row>
    <row r="281" spans="1:16" s="34" customFormat="1" ht="13.2" x14ac:dyDescent="0.3">
      <c r="A281" s="24"/>
      <c r="B281" s="25"/>
      <c r="C281" s="24" t="s">
        <v>38</v>
      </c>
      <c r="D281" s="24" t="s">
        <v>47</v>
      </c>
      <c r="E281" s="24" t="s">
        <v>48</v>
      </c>
      <c r="F281" s="24" t="s">
        <v>7</v>
      </c>
      <c r="G281" s="38">
        <v>-769.76519290365741</v>
      </c>
      <c r="H281" s="38"/>
      <c r="I281" s="38"/>
      <c r="J281" s="38">
        <f t="shared" si="69"/>
        <v>-769.76519290365741</v>
      </c>
      <c r="K281" s="24"/>
      <c r="L281" s="24"/>
      <c r="M281" s="38">
        <v>-105.24839389562727</v>
      </c>
      <c r="N281" s="38">
        <v>78.709677741935494</v>
      </c>
      <c r="O281" s="24"/>
      <c r="P281" s="38">
        <f t="shared" si="70"/>
        <v>-796.30390905734919</v>
      </c>
    </row>
    <row r="282" spans="1:16" s="34" customFormat="1" ht="13.2" x14ac:dyDescent="0.3">
      <c r="A282" s="24"/>
      <c r="B282" s="25"/>
      <c r="C282" s="24" t="s">
        <v>38</v>
      </c>
      <c r="D282" s="24" t="s">
        <v>261</v>
      </c>
      <c r="E282" s="24" t="s">
        <v>262</v>
      </c>
      <c r="F282" s="24" t="s">
        <v>7</v>
      </c>
      <c r="G282" s="38">
        <v>0</v>
      </c>
      <c r="H282" s="38">
        <v>-2452.1877742499996</v>
      </c>
      <c r="I282" s="38"/>
      <c r="J282" s="38">
        <f t="shared" si="69"/>
        <v>-2452.1877742499996</v>
      </c>
      <c r="K282" s="24"/>
      <c r="L282" s="24"/>
      <c r="M282" s="38">
        <v>-1083.4470499308395</v>
      </c>
      <c r="N282" s="38"/>
      <c r="O282" s="24"/>
      <c r="P282" s="38">
        <f t="shared" si="70"/>
        <v>-3535.6348241808391</v>
      </c>
    </row>
    <row r="283" spans="1:16" s="34" customFormat="1" ht="13.2" x14ac:dyDescent="0.3">
      <c r="A283" s="24"/>
      <c r="B283" s="25"/>
      <c r="C283" s="24" t="s">
        <v>38</v>
      </c>
      <c r="D283" s="24" t="s">
        <v>313</v>
      </c>
      <c r="E283" s="24" t="s">
        <v>314</v>
      </c>
      <c r="F283" s="24" t="s">
        <v>7</v>
      </c>
      <c r="G283" s="38"/>
      <c r="H283" s="38"/>
      <c r="I283" s="38"/>
      <c r="J283" s="38">
        <f t="shared" si="69"/>
        <v>0</v>
      </c>
      <c r="K283" s="24"/>
      <c r="L283" s="38">
        <f>-2500*1</f>
        <v>-2500</v>
      </c>
      <c r="M283" s="38"/>
      <c r="N283" s="24"/>
      <c r="O283" s="24"/>
      <c r="P283" s="38">
        <f t="shared" si="70"/>
        <v>-2500</v>
      </c>
    </row>
    <row r="284" spans="1:16" s="34" customFormat="1" ht="13.2" x14ac:dyDescent="0.3">
      <c r="A284" s="24"/>
      <c r="B284" s="25"/>
      <c r="C284" s="24" t="s">
        <v>96</v>
      </c>
      <c r="D284" s="24" t="s">
        <v>169</v>
      </c>
      <c r="E284" s="24" t="s">
        <v>170</v>
      </c>
      <c r="F284" s="24" t="s">
        <v>99</v>
      </c>
      <c r="G284" s="38">
        <v>-3583764.7058823509</v>
      </c>
      <c r="H284" s="38"/>
      <c r="I284" s="38"/>
      <c r="J284" s="38">
        <f t="shared" si="69"/>
        <v>-3583764.7058823509</v>
      </c>
      <c r="K284" s="24"/>
      <c r="L284" s="24"/>
      <c r="M284" s="38"/>
      <c r="N284" s="38">
        <v>2083764.7058923501</v>
      </c>
      <c r="O284" s="24"/>
      <c r="P284" s="38">
        <f t="shared" si="70"/>
        <v>-1499999.9999900009</v>
      </c>
    </row>
    <row r="285" spans="1:16" s="34" customFormat="1" ht="13.2" x14ac:dyDescent="0.3">
      <c r="A285" s="24"/>
      <c r="B285" s="25"/>
      <c r="C285" s="24" t="s">
        <v>96</v>
      </c>
      <c r="D285" s="24" t="s">
        <v>171</v>
      </c>
      <c r="E285" s="24" t="s">
        <v>172</v>
      </c>
      <c r="F285" s="24" t="s">
        <v>99</v>
      </c>
      <c r="G285" s="38">
        <v>-3100994</v>
      </c>
      <c r="H285" s="38"/>
      <c r="I285" s="38"/>
      <c r="J285" s="38">
        <f t="shared" si="69"/>
        <v>-3100994</v>
      </c>
      <c r="K285" s="24"/>
      <c r="L285" s="24"/>
      <c r="M285" s="38"/>
      <c r="N285" s="38"/>
      <c r="O285" s="24"/>
      <c r="P285" s="38">
        <f t="shared" si="70"/>
        <v>-3100994</v>
      </c>
    </row>
    <row r="286" spans="1:16" s="34" customFormat="1" ht="13.2" x14ac:dyDescent="0.3">
      <c r="A286" s="24"/>
      <c r="B286" s="25"/>
      <c r="C286" s="24" t="s">
        <v>96</v>
      </c>
      <c r="D286" s="24" t="s">
        <v>173</v>
      </c>
      <c r="E286" s="24" t="s">
        <v>174</v>
      </c>
      <c r="F286" s="24" t="s">
        <v>99</v>
      </c>
      <c r="G286" s="38">
        <v>-1624500</v>
      </c>
      <c r="H286" s="38"/>
      <c r="I286" s="38"/>
      <c r="J286" s="38">
        <f t="shared" si="69"/>
        <v>-1624500</v>
      </c>
      <c r="K286" s="24"/>
      <c r="L286" s="24"/>
      <c r="M286" s="38"/>
      <c r="N286" s="38">
        <v>1624500.0000100001</v>
      </c>
      <c r="O286" s="24"/>
      <c r="P286" s="38">
        <f t="shared" si="70"/>
        <v>1.0000076144933701E-5</v>
      </c>
    </row>
    <row r="287" spans="1:16" s="34" customFormat="1" ht="13.2" x14ac:dyDescent="0.3">
      <c r="A287" s="24"/>
      <c r="B287" s="25"/>
      <c r="C287" s="24" t="s">
        <v>32</v>
      </c>
      <c r="D287" s="24" t="s">
        <v>21</v>
      </c>
      <c r="E287" s="24" t="s">
        <v>21</v>
      </c>
      <c r="F287" s="24" t="s">
        <v>246</v>
      </c>
      <c r="G287" s="38">
        <v>-7650410.507253781</v>
      </c>
      <c r="H287" s="38"/>
      <c r="I287" s="38"/>
      <c r="J287" s="38">
        <f t="shared" si="69"/>
        <v>-7650410.507253781</v>
      </c>
      <c r="K287" s="24"/>
      <c r="L287" s="24"/>
      <c r="M287" s="38"/>
      <c r="N287" s="38">
        <v>5794827.6223369464</v>
      </c>
      <c r="O287" s="24"/>
      <c r="P287" s="38">
        <f t="shared" si="70"/>
        <v>-1855582.8849168345</v>
      </c>
    </row>
    <row r="288" spans="1:16" s="34" customFormat="1" ht="13.2" x14ac:dyDescent="0.3">
      <c r="A288" s="24"/>
      <c r="B288" s="25"/>
      <c r="C288" s="24" t="s">
        <v>32</v>
      </c>
      <c r="D288" s="24" t="s">
        <v>159</v>
      </c>
      <c r="E288" s="24" t="s">
        <v>160</v>
      </c>
      <c r="F288" s="24" t="s">
        <v>175</v>
      </c>
      <c r="G288" s="38">
        <v>-121827507.99995001</v>
      </c>
      <c r="H288" s="38"/>
      <c r="I288" s="38"/>
      <c r="J288" s="38">
        <f t="shared" si="69"/>
        <v>-121827507.99995001</v>
      </c>
      <c r="K288" s="24"/>
      <c r="L288" s="24"/>
      <c r="M288" s="38"/>
      <c r="N288" s="38">
        <v>97910502.000009999</v>
      </c>
      <c r="O288" s="24"/>
      <c r="P288" s="38">
        <f t="shared" si="70"/>
        <v>-23917005.999940008</v>
      </c>
    </row>
    <row r="289" spans="1:16" s="34" customFormat="1" ht="13.2" x14ac:dyDescent="0.3">
      <c r="A289" s="24"/>
      <c r="B289" s="25"/>
      <c r="C289" s="24" t="s">
        <v>35</v>
      </c>
      <c r="D289" s="24" t="s">
        <v>176</v>
      </c>
      <c r="E289" s="24" t="s">
        <v>177</v>
      </c>
      <c r="F289" s="24" t="s">
        <v>99</v>
      </c>
      <c r="G289" s="38">
        <v>-260694</v>
      </c>
      <c r="H289" s="38"/>
      <c r="I289" s="38"/>
      <c r="J289" s="38">
        <f t="shared" si="69"/>
        <v>-260694</v>
      </c>
      <c r="K289" s="24"/>
      <c r="L289" s="24"/>
      <c r="M289" s="38"/>
      <c r="N289" s="24"/>
      <c r="O289" s="24"/>
      <c r="P289" s="38">
        <f t="shared" si="70"/>
        <v>-260694</v>
      </c>
    </row>
    <row r="290" spans="1:16" s="34" customFormat="1" ht="13.2" x14ac:dyDescent="0.3">
      <c r="A290" s="24"/>
      <c r="B290" s="25"/>
      <c r="C290" s="24" t="s">
        <v>35</v>
      </c>
      <c r="D290" s="24" t="s">
        <v>178</v>
      </c>
      <c r="E290" s="24" t="s">
        <v>179</v>
      </c>
      <c r="F290" s="24" t="s">
        <v>99</v>
      </c>
      <c r="G290" s="38">
        <v>-170000</v>
      </c>
      <c r="H290" s="38"/>
      <c r="I290" s="38"/>
      <c r="J290" s="38">
        <f t="shared" si="69"/>
        <v>-170000</v>
      </c>
      <c r="K290" s="24"/>
      <c r="L290" s="24"/>
      <c r="M290" s="38"/>
      <c r="N290" s="24"/>
      <c r="O290" s="24"/>
      <c r="P290" s="38">
        <f t="shared" si="70"/>
        <v>-170000</v>
      </c>
    </row>
    <row r="291" spans="1:16" s="34" customFormat="1" ht="13.2" x14ac:dyDescent="0.3">
      <c r="A291" s="24"/>
      <c r="B291" s="25"/>
      <c r="C291" s="24" t="s">
        <v>35</v>
      </c>
      <c r="D291" s="24" t="s">
        <v>180</v>
      </c>
      <c r="E291" s="24" t="s">
        <v>181</v>
      </c>
      <c r="F291" s="24" t="s">
        <v>99</v>
      </c>
      <c r="G291" s="38">
        <v>-2012926</v>
      </c>
      <c r="H291" s="38"/>
      <c r="I291" s="38"/>
      <c r="J291" s="38">
        <f t="shared" si="69"/>
        <v>-2012926</v>
      </c>
      <c r="K291" s="24"/>
      <c r="L291" s="24"/>
      <c r="M291" s="38"/>
      <c r="N291" s="24"/>
      <c r="O291" s="24"/>
      <c r="P291" s="38">
        <f t="shared" si="70"/>
        <v>-2012926</v>
      </c>
    </row>
    <row r="292" spans="1:16" s="34" customFormat="1" ht="13.2" x14ac:dyDescent="0.3">
      <c r="A292" s="24"/>
      <c r="B292" s="25"/>
      <c r="C292" s="24" t="s">
        <v>35</v>
      </c>
      <c r="D292" s="24" t="s">
        <v>182</v>
      </c>
      <c r="E292" s="24" t="s">
        <v>183</v>
      </c>
      <c r="F292" s="24" t="s">
        <v>99</v>
      </c>
      <c r="G292" s="38">
        <v>-8513040</v>
      </c>
      <c r="H292" s="38"/>
      <c r="I292" s="38"/>
      <c r="J292" s="38">
        <f t="shared" si="69"/>
        <v>-8513040</v>
      </c>
      <c r="K292" s="24"/>
      <c r="L292" s="24"/>
      <c r="M292" s="38"/>
      <c r="N292" s="38">
        <v>1290538.0000100001</v>
      </c>
      <c r="O292" s="24"/>
      <c r="P292" s="38">
        <f t="shared" ref="P292:P352" si="90">+J292+K292+L292+M292+N292+O292</f>
        <v>-7222501.9999899995</v>
      </c>
    </row>
    <row r="293" spans="1:16" s="34" customFormat="1" ht="13.2" x14ac:dyDescent="0.3">
      <c r="A293" s="24"/>
      <c r="B293" s="25"/>
      <c r="C293" s="24" t="s">
        <v>35</v>
      </c>
      <c r="D293" s="24" t="s">
        <v>169</v>
      </c>
      <c r="E293" s="24" t="s">
        <v>184</v>
      </c>
      <c r="F293" s="24" t="s">
        <v>99</v>
      </c>
      <c r="G293" s="38">
        <v>-20308000</v>
      </c>
      <c r="H293" s="38"/>
      <c r="I293" s="38"/>
      <c r="J293" s="38">
        <f t="shared" si="69"/>
        <v>-20308000</v>
      </c>
      <c r="K293" s="24"/>
      <c r="L293" s="24"/>
      <c r="M293" s="38"/>
      <c r="N293" s="38">
        <v>11808000.000010001</v>
      </c>
      <c r="O293" s="24"/>
      <c r="P293" s="38">
        <f t="shared" si="90"/>
        <v>-8499999.9999899995</v>
      </c>
    </row>
    <row r="294" spans="1:16" s="34" customFormat="1" ht="13.2" x14ac:dyDescent="0.3">
      <c r="A294" s="24"/>
      <c r="B294" s="25"/>
      <c r="C294" s="24" t="s">
        <v>35</v>
      </c>
      <c r="D294" s="24" t="s">
        <v>171</v>
      </c>
      <c r="E294" s="24" t="s">
        <v>185</v>
      </c>
      <c r="F294" s="24" t="s">
        <v>99</v>
      </c>
      <c r="G294" s="38">
        <v>-17572300</v>
      </c>
      <c r="H294" s="38"/>
      <c r="I294" s="38"/>
      <c r="J294" s="38">
        <f t="shared" si="69"/>
        <v>-17572300</v>
      </c>
      <c r="K294" s="24"/>
      <c r="L294" s="24"/>
      <c r="M294" s="38"/>
      <c r="N294" s="38"/>
      <c r="O294" s="24"/>
      <c r="P294" s="38">
        <f t="shared" si="90"/>
        <v>-17572300</v>
      </c>
    </row>
    <row r="295" spans="1:16" s="34" customFormat="1" ht="13.2" x14ac:dyDescent="0.3">
      <c r="A295" s="24"/>
      <c r="B295" s="25"/>
      <c r="C295" s="24" t="s">
        <v>35</v>
      </c>
      <c r="D295" s="24" t="s">
        <v>173</v>
      </c>
      <c r="E295" s="24" t="s">
        <v>174</v>
      </c>
      <c r="F295" s="24" t="s">
        <v>99</v>
      </c>
      <c r="G295" s="38">
        <v>-9205499.9999999981</v>
      </c>
      <c r="H295" s="38"/>
      <c r="I295" s="38"/>
      <c r="J295" s="38">
        <f t="shared" si="69"/>
        <v>-9205499.9999999981</v>
      </c>
      <c r="K295" s="24"/>
      <c r="L295" s="24"/>
      <c r="M295" s="38"/>
      <c r="N295" s="38">
        <v>9205500.0000100005</v>
      </c>
      <c r="O295" s="24"/>
      <c r="P295" s="38">
        <f t="shared" si="90"/>
        <v>1.0002404451370239E-5</v>
      </c>
    </row>
    <row r="296" spans="1:16" s="34" customFormat="1" ht="13.2" x14ac:dyDescent="0.3">
      <c r="A296" s="24"/>
      <c r="B296" s="25"/>
      <c r="C296" s="24" t="s">
        <v>51</v>
      </c>
      <c r="D296" s="24" t="s">
        <v>21</v>
      </c>
      <c r="E296" s="24" t="s">
        <v>21</v>
      </c>
      <c r="F296" s="24" t="s">
        <v>8</v>
      </c>
      <c r="G296" s="38">
        <v>-1652.5853114683728</v>
      </c>
      <c r="H296" s="38"/>
      <c r="I296" s="38"/>
      <c r="J296" s="38">
        <f t="shared" ref="J296:J387" si="91">+G296+H296+I296</f>
        <v>-1652.5853114683728</v>
      </c>
      <c r="K296" s="24"/>
      <c r="L296" s="24"/>
      <c r="M296" s="38"/>
      <c r="N296" s="38">
        <v>799.99928795490064</v>
      </c>
      <c r="O296" s="24"/>
      <c r="P296" s="38">
        <f t="shared" si="90"/>
        <v>-852.58602351347213</v>
      </c>
    </row>
    <row r="297" spans="1:16" s="34" customFormat="1" ht="26.4" x14ac:dyDescent="0.3">
      <c r="A297" s="24" t="s">
        <v>186</v>
      </c>
      <c r="B297" s="25" t="s">
        <v>187</v>
      </c>
      <c r="C297" s="24" t="s">
        <v>38</v>
      </c>
      <c r="D297" s="24" t="s">
        <v>21</v>
      </c>
      <c r="E297" s="24" t="s">
        <v>21</v>
      </c>
      <c r="F297" s="24" t="s">
        <v>247</v>
      </c>
      <c r="G297" s="38">
        <v>-6538448.9131969558</v>
      </c>
      <c r="H297" s="38"/>
      <c r="I297" s="38">
        <v>6185805</v>
      </c>
      <c r="J297" s="38">
        <f t="shared" si="91"/>
        <v>-352643.91319695581</v>
      </c>
      <c r="K297" s="24"/>
      <c r="L297" s="24"/>
      <c r="M297" s="38">
        <v>-56046.358273171063</v>
      </c>
      <c r="N297" s="38">
        <v>200611.50128141671</v>
      </c>
      <c r="O297" s="24"/>
      <c r="P297" s="38">
        <f t="shared" si="90"/>
        <v>-208078.77018871016</v>
      </c>
    </row>
    <row r="298" spans="1:16" s="34" customFormat="1" ht="13.2" x14ac:dyDescent="0.3">
      <c r="A298" s="24"/>
      <c r="B298" s="25"/>
      <c r="C298" s="24" t="s">
        <v>38</v>
      </c>
      <c r="D298" s="24" t="s">
        <v>45</v>
      </c>
      <c r="E298" s="24" t="s">
        <v>46</v>
      </c>
      <c r="F298" s="24" t="s">
        <v>7</v>
      </c>
      <c r="G298" s="38">
        <v>-72704.399999999994</v>
      </c>
      <c r="H298" s="38">
        <v>-10186</v>
      </c>
      <c r="I298" s="38"/>
      <c r="J298" s="38">
        <f t="shared" si="91"/>
        <v>-82890.399999999994</v>
      </c>
      <c r="K298" s="24"/>
      <c r="L298" s="24"/>
      <c r="M298" s="38"/>
      <c r="N298" s="38">
        <v>30095.4000012</v>
      </c>
      <c r="O298" s="24"/>
      <c r="P298" s="38">
        <f t="shared" si="90"/>
        <v>-52794.999998799991</v>
      </c>
    </row>
    <row r="299" spans="1:16" s="34" customFormat="1" ht="13.2" x14ac:dyDescent="0.3">
      <c r="A299" s="24"/>
      <c r="B299" s="25"/>
      <c r="C299" s="24" t="s">
        <v>38</v>
      </c>
      <c r="D299" s="24" t="s">
        <v>261</v>
      </c>
      <c r="E299" s="24" t="s">
        <v>262</v>
      </c>
      <c r="F299" s="24" t="s">
        <v>7</v>
      </c>
      <c r="G299" s="38">
        <v>0</v>
      </c>
      <c r="H299" s="38">
        <v>-1917.01902225</v>
      </c>
      <c r="I299" s="38"/>
      <c r="J299" s="38">
        <f t="shared" si="91"/>
        <v>-1917.01902225</v>
      </c>
      <c r="K299" s="24"/>
      <c r="L299" s="24"/>
      <c r="M299" s="38">
        <v>-734.66676971018887</v>
      </c>
      <c r="N299" s="38"/>
      <c r="O299" s="24"/>
      <c r="P299" s="38">
        <f t="shared" si="90"/>
        <v>-2651.6857919601889</v>
      </c>
    </row>
    <row r="300" spans="1:16" s="34" customFormat="1" ht="13.2" x14ac:dyDescent="0.3">
      <c r="A300" s="24"/>
      <c r="B300" s="25"/>
      <c r="C300" s="24" t="s">
        <v>38</v>
      </c>
      <c r="D300" s="24" t="s">
        <v>47</v>
      </c>
      <c r="E300" s="24" t="s">
        <v>48</v>
      </c>
      <c r="F300" s="24" t="s">
        <v>7</v>
      </c>
      <c r="G300" s="38">
        <v>-1126.4368256402943</v>
      </c>
      <c r="H300" s="38"/>
      <c r="I300" s="38"/>
      <c r="J300" s="38">
        <f t="shared" si="91"/>
        <v>-1126.4368256402943</v>
      </c>
      <c r="K300" s="24"/>
      <c r="L300" s="24"/>
      <c r="M300" s="38">
        <v>-160</v>
      </c>
      <c r="N300" s="38">
        <v>78.709677741935494</v>
      </c>
      <c r="O300" s="24"/>
      <c r="P300" s="38">
        <f t="shared" si="90"/>
        <v>-1207.7271478983587</v>
      </c>
    </row>
    <row r="301" spans="1:16" s="34" customFormat="1" ht="13.2" x14ac:dyDescent="0.3">
      <c r="A301" s="24"/>
      <c r="B301" s="25"/>
      <c r="C301" s="24" t="s">
        <v>38</v>
      </c>
      <c r="D301" s="24" t="s">
        <v>313</v>
      </c>
      <c r="E301" s="24" t="s">
        <v>314</v>
      </c>
      <c r="F301" s="24" t="s">
        <v>7</v>
      </c>
      <c r="G301" s="38"/>
      <c r="H301" s="38"/>
      <c r="I301" s="38"/>
      <c r="J301" s="38">
        <f t="shared" si="91"/>
        <v>0</v>
      </c>
      <c r="K301" s="24"/>
      <c r="L301" s="38">
        <f>-2500*1</f>
        <v>-2500</v>
      </c>
      <c r="M301" s="38"/>
      <c r="N301" s="24"/>
      <c r="O301" s="24"/>
      <c r="P301" s="38">
        <f t="shared" si="90"/>
        <v>-2500</v>
      </c>
    </row>
    <row r="302" spans="1:16" s="34" customFormat="1" ht="13.2" x14ac:dyDescent="0.3">
      <c r="A302" s="24"/>
      <c r="B302" s="25"/>
      <c r="C302" s="24" t="s">
        <v>32</v>
      </c>
      <c r="D302" s="24" t="s">
        <v>21</v>
      </c>
      <c r="E302" s="24" t="s">
        <v>21</v>
      </c>
      <c r="F302" s="24" t="s">
        <v>7</v>
      </c>
      <c r="G302" s="38">
        <v>-66237.724337670967</v>
      </c>
      <c r="H302" s="38"/>
      <c r="I302" s="38"/>
      <c r="J302" s="38">
        <f t="shared" si="91"/>
        <v>-66237.724337670967</v>
      </c>
      <c r="K302" s="24"/>
      <c r="L302" s="24"/>
      <c r="M302" s="38"/>
      <c r="N302" s="38">
        <v>35802.999919587259</v>
      </c>
      <c r="O302" s="24"/>
      <c r="P302" s="38">
        <f t="shared" si="90"/>
        <v>-30434.724418083708</v>
      </c>
    </row>
    <row r="303" spans="1:16" s="41" customFormat="1" ht="13.2" x14ac:dyDescent="0.3">
      <c r="A303" s="24"/>
      <c r="B303" s="25"/>
      <c r="C303" s="25" t="s">
        <v>35</v>
      </c>
      <c r="D303" s="25" t="s">
        <v>157</v>
      </c>
      <c r="E303" s="25" t="s">
        <v>158</v>
      </c>
      <c r="F303" s="24" t="s">
        <v>99</v>
      </c>
      <c r="G303" s="38">
        <v>-6000000</v>
      </c>
      <c r="H303" s="38"/>
      <c r="I303" s="38"/>
      <c r="J303" s="38">
        <f t="shared" si="91"/>
        <v>-6000000</v>
      </c>
      <c r="K303" s="25"/>
      <c r="L303" s="25"/>
      <c r="M303" s="60"/>
      <c r="N303" s="38"/>
      <c r="O303" s="25"/>
      <c r="P303" s="38">
        <f t="shared" si="90"/>
        <v>-6000000</v>
      </c>
    </row>
    <row r="304" spans="1:16" s="34" customFormat="1" ht="26.4" x14ac:dyDescent="0.3">
      <c r="A304" s="24"/>
      <c r="B304" s="25"/>
      <c r="C304" s="24" t="s">
        <v>35</v>
      </c>
      <c r="D304" s="24" t="s">
        <v>188</v>
      </c>
      <c r="E304" s="24" t="s">
        <v>189</v>
      </c>
      <c r="F304" s="25" t="s">
        <v>248</v>
      </c>
      <c r="G304" s="38">
        <v>-140916.65925</v>
      </c>
      <c r="H304" s="38"/>
      <c r="I304" s="38"/>
      <c r="J304" s="38">
        <f t="shared" si="91"/>
        <v>-140916.65925</v>
      </c>
      <c r="K304" s="24"/>
      <c r="L304" s="24"/>
      <c r="M304" s="38"/>
      <c r="N304" s="38">
        <v>140916.65925999999</v>
      </c>
      <c r="O304" s="24"/>
      <c r="P304" s="38">
        <f t="shared" si="90"/>
        <v>9.9999888334423304E-6</v>
      </c>
    </row>
    <row r="305" spans="1:16" s="34" customFormat="1" ht="13.2" x14ac:dyDescent="0.3">
      <c r="A305" s="24"/>
      <c r="B305" s="25"/>
      <c r="C305" s="24" t="s">
        <v>51</v>
      </c>
      <c r="D305" s="24" t="s">
        <v>21</v>
      </c>
      <c r="E305" s="24" t="s">
        <v>21</v>
      </c>
      <c r="F305" s="24" t="s">
        <v>8</v>
      </c>
      <c r="G305" s="38">
        <v>-75844.726279293871</v>
      </c>
      <c r="H305" s="38"/>
      <c r="I305" s="38"/>
      <c r="J305" s="38">
        <f t="shared" si="91"/>
        <v>-75844.726279293871</v>
      </c>
      <c r="K305" s="24"/>
      <c r="L305" s="24"/>
      <c r="M305" s="38"/>
      <c r="N305" s="38">
        <v>37891.000706875311</v>
      </c>
      <c r="O305" s="24"/>
      <c r="P305" s="38">
        <f t="shared" si="90"/>
        <v>-37953.72557241856</v>
      </c>
    </row>
    <row r="306" spans="1:16" s="34" customFormat="1" ht="26.4" x14ac:dyDescent="0.3">
      <c r="A306" s="24" t="s">
        <v>190</v>
      </c>
      <c r="B306" s="25" t="s">
        <v>191</v>
      </c>
      <c r="C306" s="24" t="s">
        <v>38</v>
      </c>
      <c r="D306" s="24" t="s">
        <v>21</v>
      </c>
      <c r="E306" s="24" t="s">
        <v>21</v>
      </c>
      <c r="F306" s="25" t="s">
        <v>249</v>
      </c>
      <c r="G306" s="38">
        <v>-10199235.986248685</v>
      </c>
      <c r="H306" s="38"/>
      <c r="I306" s="38"/>
      <c r="J306" s="38">
        <f t="shared" si="91"/>
        <v>-10199235.986248685</v>
      </c>
      <c r="K306" s="24"/>
      <c r="L306" s="24"/>
      <c r="M306" s="69">
        <v>-98615.287386867683</v>
      </c>
      <c r="N306" s="38">
        <v>5097328.1400427576</v>
      </c>
      <c r="O306" s="24"/>
      <c r="P306" s="38">
        <f t="shared" si="90"/>
        <v>-5200523.1335927956</v>
      </c>
    </row>
    <row r="307" spans="1:16" s="34" customFormat="1" ht="13.2" x14ac:dyDescent="0.3">
      <c r="A307" s="24"/>
      <c r="B307" s="25"/>
      <c r="C307" s="24" t="s">
        <v>38</v>
      </c>
      <c r="D307" s="24" t="s">
        <v>45</v>
      </c>
      <c r="E307" s="24" t="s">
        <v>46</v>
      </c>
      <c r="F307" s="24" t="s">
        <v>7</v>
      </c>
      <c r="G307" s="38">
        <v>-145408.79999999999</v>
      </c>
      <c r="H307" s="38">
        <v>-20372</v>
      </c>
      <c r="I307" s="38"/>
      <c r="J307" s="38">
        <f t="shared" si="91"/>
        <v>-165780.79999999999</v>
      </c>
      <c r="K307" s="24"/>
      <c r="L307" s="24"/>
      <c r="M307" s="38"/>
      <c r="N307" s="38">
        <v>60190.800002399999</v>
      </c>
      <c r="O307" s="24"/>
      <c r="P307" s="38">
        <f t="shared" si="90"/>
        <v>-105589.99999759998</v>
      </c>
    </row>
    <row r="308" spans="1:16" s="34" customFormat="1" ht="13.2" x14ac:dyDescent="0.3">
      <c r="A308" s="24"/>
      <c r="B308" s="25"/>
      <c r="C308" s="24" t="s">
        <v>38</v>
      </c>
      <c r="D308" s="24" t="s">
        <v>47</v>
      </c>
      <c r="E308" s="24" t="s">
        <v>48</v>
      </c>
      <c r="F308" s="24" t="s">
        <v>7</v>
      </c>
      <c r="G308" s="38">
        <v>-746.70862068324152</v>
      </c>
      <c r="H308" s="38"/>
      <c r="I308" s="38"/>
      <c r="J308" s="38">
        <f t="shared" si="91"/>
        <v>-746.70862068324152</v>
      </c>
      <c r="K308" s="24"/>
      <c r="L308" s="24"/>
      <c r="M308" s="38">
        <v>-106.27046278656056</v>
      </c>
      <c r="N308" s="38">
        <v>78.709677741935494</v>
      </c>
      <c r="O308" s="24"/>
      <c r="P308" s="38">
        <f t="shared" si="90"/>
        <v>-774.26940572786657</v>
      </c>
    </row>
    <row r="309" spans="1:16" s="34" customFormat="1" ht="13.2" x14ac:dyDescent="0.3">
      <c r="A309" s="24"/>
      <c r="B309" s="25"/>
      <c r="C309" s="24" t="s">
        <v>38</v>
      </c>
      <c r="D309" s="24" t="s">
        <v>261</v>
      </c>
      <c r="E309" s="24" t="s">
        <v>262</v>
      </c>
      <c r="F309" s="24" t="s">
        <v>7</v>
      </c>
      <c r="G309" s="38">
        <v>0</v>
      </c>
      <c r="H309" s="38">
        <v>-2051.8344100000004</v>
      </c>
      <c r="I309" s="38"/>
      <c r="J309" s="38">
        <f t="shared" si="91"/>
        <v>-2051.8344100000004</v>
      </c>
      <c r="K309" s="24"/>
      <c r="L309" s="24"/>
      <c r="M309" s="38">
        <v>-848.73532822785046</v>
      </c>
      <c r="N309" s="38"/>
      <c r="O309" s="24"/>
      <c r="P309" s="38">
        <f t="shared" si="90"/>
        <v>-2900.5697382278508</v>
      </c>
    </row>
    <row r="310" spans="1:16" s="34" customFormat="1" ht="13.2" x14ac:dyDescent="0.3">
      <c r="A310" s="24"/>
      <c r="B310" s="25"/>
      <c r="C310" s="24" t="s">
        <v>38</v>
      </c>
      <c r="D310" s="24" t="s">
        <v>313</v>
      </c>
      <c r="E310" s="24" t="s">
        <v>314</v>
      </c>
      <c r="F310" s="24" t="s">
        <v>7</v>
      </c>
      <c r="G310" s="38"/>
      <c r="H310" s="38"/>
      <c r="I310" s="38"/>
      <c r="J310" s="38">
        <f t="shared" ref="J310" si="92">+G310+H310+I310</f>
        <v>0</v>
      </c>
      <c r="K310" s="24"/>
      <c r="L310" s="38">
        <f>-2500*1</f>
        <v>-2500</v>
      </c>
      <c r="M310" s="38"/>
      <c r="N310" s="38"/>
      <c r="O310" s="24"/>
      <c r="P310" s="38">
        <f t="shared" si="90"/>
        <v>-2500</v>
      </c>
    </row>
    <row r="311" spans="1:16" s="34" customFormat="1" ht="13.2" x14ac:dyDescent="0.3">
      <c r="A311" s="24"/>
      <c r="B311" s="25"/>
      <c r="C311" s="24" t="s">
        <v>32</v>
      </c>
      <c r="D311" s="24" t="s">
        <v>21</v>
      </c>
      <c r="E311" s="24" t="s">
        <v>21</v>
      </c>
      <c r="F311" s="24" t="s">
        <v>7</v>
      </c>
      <c r="G311" s="38">
        <v>-22161.255141379312</v>
      </c>
      <c r="H311" s="38"/>
      <c r="I311" s="38"/>
      <c r="J311" s="38">
        <f t="shared" si="91"/>
        <v>-22161.255141379312</v>
      </c>
      <c r="K311" s="24"/>
      <c r="L311" s="24"/>
      <c r="M311" s="38"/>
      <c r="N311" s="38">
        <v>12641.628995645549</v>
      </c>
      <c r="O311" s="24"/>
      <c r="P311" s="38">
        <f t="shared" si="90"/>
        <v>-9519.6261457337623</v>
      </c>
    </row>
    <row r="312" spans="1:16" s="41" customFormat="1" ht="26.4" x14ac:dyDescent="0.3">
      <c r="A312" s="24"/>
      <c r="B312" s="25"/>
      <c r="C312" s="25" t="s">
        <v>35</v>
      </c>
      <c r="D312" s="25" t="s">
        <v>192</v>
      </c>
      <c r="E312" s="25" t="s">
        <v>193</v>
      </c>
      <c r="F312" s="25" t="s">
        <v>194</v>
      </c>
      <c r="G312" s="38">
        <v>-1085955.2</v>
      </c>
      <c r="H312" s="38"/>
      <c r="I312" s="38"/>
      <c r="J312" s="38">
        <f t="shared" si="91"/>
        <v>-1085955.2</v>
      </c>
      <c r="K312" s="25"/>
      <c r="L312" s="25"/>
      <c r="M312" s="60"/>
      <c r="N312" s="38">
        <v>885955.00000999996</v>
      </c>
      <c r="O312" s="25"/>
      <c r="P312" s="38">
        <f t="shared" si="90"/>
        <v>-200000.19998999999</v>
      </c>
    </row>
    <row r="313" spans="1:16" s="34" customFormat="1" ht="13.2" x14ac:dyDescent="0.3">
      <c r="A313" s="24"/>
      <c r="B313" s="25"/>
      <c r="C313" s="24" t="s">
        <v>51</v>
      </c>
      <c r="D313" s="24" t="s">
        <v>21</v>
      </c>
      <c r="E313" s="24" t="s">
        <v>21</v>
      </c>
      <c r="F313" s="24" t="s">
        <v>8</v>
      </c>
      <c r="G313" s="38">
        <v>-698.57498546454462</v>
      </c>
      <c r="H313" s="38"/>
      <c r="I313" s="38"/>
      <c r="J313" s="38">
        <f t="shared" si="91"/>
        <v>-698.57498546454462</v>
      </c>
      <c r="K313" s="24"/>
      <c r="L313" s="24"/>
      <c r="M313" s="38"/>
      <c r="N313" s="38">
        <v>334.72352888276288</v>
      </c>
      <c r="O313" s="24"/>
      <c r="P313" s="38">
        <f t="shared" si="90"/>
        <v>-363.85145658178175</v>
      </c>
    </row>
    <row r="314" spans="1:16" s="34" customFormat="1" ht="26.4" x14ac:dyDescent="0.3">
      <c r="A314" s="24" t="s">
        <v>195</v>
      </c>
      <c r="B314" s="25" t="s">
        <v>196</v>
      </c>
      <c r="C314" s="24" t="s">
        <v>38</v>
      </c>
      <c r="D314" s="24" t="s">
        <v>21</v>
      </c>
      <c r="E314" s="24" t="s">
        <v>21</v>
      </c>
      <c r="F314" s="24" t="s">
        <v>7</v>
      </c>
      <c r="G314" s="38">
        <v>-325733.41991025198</v>
      </c>
      <c r="H314" s="38"/>
      <c r="I314" s="38"/>
      <c r="J314" s="38">
        <f t="shared" si="91"/>
        <v>-325733.41991025198</v>
      </c>
      <c r="K314" s="38"/>
      <c r="L314" s="38"/>
      <c r="M314" s="38">
        <v>-119518.72943167665</v>
      </c>
      <c r="N314" s="38">
        <v>116249.1952812122</v>
      </c>
      <c r="O314" s="24"/>
      <c r="P314" s="38">
        <f t="shared" si="90"/>
        <v>-329002.95406071644</v>
      </c>
    </row>
    <row r="315" spans="1:16" s="34" customFormat="1" ht="13.2" x14ac:dyDescent="0.3">
      <c r="A315" s="24"/>
      <c r="B315" s="25"/>
      <c r="C315" s="24" t="s">
        <v>38</v>
      </c>
      <c r="D315" s="24" t="s">
        <v>197</v>
      </c>
      <c r="E315" s="24" t="s">
        <v>198</v>
      </c>
      <c r="F315" s="24" t="s">
        <v>250</v>
      </c>
      <c r="G315" s="38">
        <v>-5000000</v>
      </c>
      <c r="H315" s="38"/>
      <c r="I315" s="38"/>
      <c r="J315" s="38">
        <f t="shared" si="91"/>
        <v>-5000000</v>
      </c>
      <c r="K315" s="24"/>
      <c r="L315" s="24"/>
      <c r="M315" s="38"/>
      <c r="N315" s="38">
        <v>5000000.0000099996</v>
      </c>
      <c r="O315" s="24"/>
      <c r="P315" s="38">
        <f t="shared" si="90"/>
        <v>9.9996104836463928E-6</v>
      </c>
    </row>
    <row r="316" spans="1:16" s="34" customFormat="1" ht="13.2" x14ac:dyDescent="0.3">
      <c r="A316" s="24"/>
      <c r="B316" s="25"/>
      <c r="C316" s="24" t="s">
        <v>38</v>
      </c>
      <c r="D316" s="24" t="s">
        <v>199</v>
      </c>
      <c r="E316" s="24" t="s">
        <v>200</v>
      </c>
      <c r="F316" s="24" t="s">
        <v>251</v>
      </c>
      <c r="G316" s="38">
        <v>-700000</v>
      </c>
      <c r="H316" s="38"/>
      <c r="I316" s="38"/>
      <c r="J316" s="38">
        <f t="shared" si="91"/>
        <v>-700000</v>
      </c>
      <c r="K316" s="24"/>
      <c r="L316" s="24"/>
      <c r="M316" s="38"/>
      <c r="N316" s="38">
        <v>675000.00000999996</v>
      </c>
      <c r="O316" s="24"/>
      <c r="P316" s="38">
        <f t="shared" si="90"/>
        <v>-24999.99999000004</v>
      </c>
    </row>
    <row r="317" spans="1:16" s="34" customFormat="1" ht="13.2" x14ac:dyDescent="0.3">
      <c r="A317" s="24"/>
      <c r="B317" s="25"/>
      <c r="C317" s="24" t="s">
        <v>38</v>
      </c>
      <c r="D317" s="24" t="s">
        <v>45</v>
      </c>
      <c r="E317" s="24" t="s">
        <v>46</v>
      </c>
      <c r="F317" s="24" t="s">
        <v>7</v>
      </c>
      <c r="G317" s="38">
        <v>-90880.5</v>
      </c>
      <c r="H317" s="38">
        <v>-10186</v>
      </c>
      <c r="I317" s="38"/>
      <c r="J317" s="38">
        <f t="shared" si="91"/>
        <v>-101066.5</v>
      </c>
      <c r="K317" s="24"/>
      <c r="L317" s="24"/>
      <c r="M317" s="38"/>
      <c r="N317" s="38">
        <v>37619.250001499997</v>
      </c>
      <c r="O317" s="24"/>
      <c r="P317" s="38">
        <f t="shared" si="90"/>
        <v>-63447.249998500003</v>
      </c>
    </row>
    <row r="318" spans="1:16" s="34" customFormat="1" ht="13.2" x14ac:dyDescent="0.3">
      <c r="A318" s="24"/>
      <c r="B318" s="25"/>
      <c r="C318" s="24" t="s">
        <v>38</v>
      </c>
      <c r="D318" s="24" t="s">
        <v>281</v>
      </c>
      <c r="E318" s="24" t="s">
        <v>282</v>
      </c>
      <c r="F318" s="24" t="s">
        <v>7</v>
      </c>
      <c r="G318" s="38">
        <v>0</v>
      </c>
      <c r="H318" s="38">
        <v>-4576306</v>
      </c>
      <c r="I318" s="38"/>
      <c r="J318" s="38">
        <f t="shared" si="91"/>
        <v>-4576306</v>
      </c>
      <c r="K318" s="24"/>
      <c r="L318" s="24"/>
      <c r="M318" s="38">
        <v>1269869.96</v>
      </c>
      <c r="N318" s="38"/>
      <c r="O318" s="24"/>
      <c r="P318" s="38">
        <f t="shared" si="90"/>
        <v>-3306436.04</v>
      </c>
    </row>
    <row r="319" spans="1:16" s="34" customFormat="1" ht="13.2" x14ac:dyDescent="0.3">
      <c r="A319" s="24"/>
      <c r="B319" s="25"/>
      <c r="C319" s="24" t="s">
        <v>38</v>
      </c>
      <c r="D319" s="24" t="s">
        <v>47</v>
      </c>
      <c r="E319" s="24" t="s">
        <v>48</v>
      </c>
      <c r="F319" s="24" t="s">
        <v>7</v>
      </c>
      <c r="G319" s="38">
        <v>-1138.8247213256295</v>
      </c>
      <c r="H319" s="38"/>
      <c r="I319" s="38"/>
      <c r="J319" s="38">
        <f t="shared" si="91"/>
        <v>-1138.8247213256295</v>
      </c>
      <c r="K319" s="24"/>
      <c r="L319" s="24"/>
      <c r="M319" s="38">
        <v>-158</v>
      </c>
      <c r="N319" s="38">
        <v>78.709677741935494</v>
      </c>
      <c r="O319" s="24"/>
      <c r="P319" s="38">
        <f t="shared" si="90"/>
        <v>-1218.1150435836939</v>
      </c>
    </row>
    <row r="320" spans="1:16" s="34" customFormat="1" ht="13.2" x14ac:dyDescent="0.3">
      <c r="A320" s="24"/>
      <c r="B320" s="25"/>
      <c r="C320" s="24" t="s">
        <v>38</v>
      </c>
      <c r="D320" s="24" t="s">
        <v>283</v>
      </c>
      <c r="E320" s="24" t="s">
        <v>284</v>
      </c>
      <c r="F320" s="24" t="s">
        <v>7</v>
      </c>
      <c r="G320" s="38">
        <v>0</v>
      </c>
      <c r="H320" s="38">
        <v>-200000</v>
      </c>
      <c r="I320" s="38"/>
      <c r="J320" s="38">
        <f t="shared" si="91"/>
        <v>-200000</v>
      </c>
      <c r="K320" s="24"/>
      <c r="L320" s="24"/>
      <c r="M320" s="38">
        <v>200000</v>
      </c>
      <c r="N320" s="38"/>
      <c r="O320" s="24"/>
      <c r="P320" s="38">
        <f t="shared" si="90"/>
        <v>0</v>
      </c>
    </row>
    <row r="321" spans="1:16" s="34" customFormat="1" ht="13.2" x14ac:dyDescent="0.3">
      <c r="A321" s="24"/>
      <c r="B321" s="25"/>
      <c r="C321" s="24" t="s">
        <v>38</v>
      </c>
      <c r="D321" s="24" t="s">
        <v>261</v>
      </c>
      <c r="E321" s="24" t="s">
        <v>262</v>
      </c>
      <c r="F321" s="24" t="s">
        <v>7</v>
      </c>
      <c r="G321" s="38">
        <v>0</v>
      </c>
      <c r="H321" s="38">
        <v>-2738.5425732499998</v>
      </c>
      <c r="I321" s="38"/>
      <c r="J321" s="38">
        <f t="shared" si="91"/>
        <v>-2738.5425732499998</v>
      </c>
      <c r="K321" s="24"/>
      <c r="L321" s="24"/>
      <c r="M321" s="38">
        <v>-1237.6223047508679</v>
      </c>
      <c r="N321" s="38"/>
      <c r="O321" s="24"/>
      <c r="P321" s="38">
        <f t="shared" si="90"/>
        <v>-3976.1648780008677</v>
      </c>
    </row>
    <row r="322" spans="1:16" s="34" customFormat="1" ht="13.2" x14ac:dyDescent="0.3">
      <c r="A322" s="24"/>
      <c r="B322" s="25"/>
      <c r="C322" s="24" t="s">
        <v>38</v>
      </c>
      <c r="D322" s="24" t="s">
        <v>313</v>
      </c>
      <c r="E322" s="24" t="s">
        <v>314</v>
      </c>
      <c r="F322" s="24" t="s">
        <v>7</v>
      </c>
      <c r="G322" s="38"/>
      <c r="H322" s="38"/>
      <c r="I322" s="38"/>
      <c r="J322" s="38">
        <f t="shared" si="91"/>
        <v>0</v>
      </c>
      <c r="K322" s="24"/>
      <c r="L322" s="38">
        <f>-2500*1</f>
        <v>-2500</v>
      </c>
      <c r="M322" s="38"/>
      <c r="N322" s="38"/>
      <c r="O322" s="24"/>
      <c r="P322" s="38">
        <f t="shared" si="90"/>
        <v>-2500</v>
      </c>
    </row>
    <row r="323" spans="1:16" s="34" customFormat="1" ht="13.2" x14ac:dyDescent="0.3">
      <c r="A323" s="24"/>
      <c r="B323" s="25"/>
      <c r="C323" s="24" t="s">
        <v>32</v>
      </c>
      <c r="D323" s="24" t="s">
        <v>21</v>
      </c>
      <c r="E323" s="24" t="s">
        <v>21</v>
      </c>
      <c r="F323" s="24" t="s">
        <v>7</v>
      </c>
      <c r="G323" s="38">
        <v>-54729.758037054453</v>
      </c>
      <c r="H323" s="38"/>
      <c r="I323" s="38"/>
      <c r="J323" s="38">
        <f t="shared" si="91"/>
        <v>-54729.758037054453</v>
      </c>
      <c r="K323" s="24"/>
      <c r="L323" s="24"/>
      <c r="M323" s="38"/>
      <c r="N323" s="38">
        <v>29057.283399101543</v>
      </c>
      <c r="O323" s="24"/>
      <c r="P323" s="38">
        <f t="shared" si="90"/>
        <v>-25672.47463795291</v>
      </c>
    </row>
    <row r="324" spans="1:16" s="34" customFormat="1" ht="27" customHeight="1" x14ac:dyDescent="0.3">
      <c r="A324" s="24"/>
      <c r="B324" s="25"/>
      <c r="C324" s="24" t="s">
        <v>35</v>
      </c>
      <c r="D324" s="24" t="s">
        <v>201</v>
      </c>
      <c r="E324" s="25" t="s">
        <v>227</v>
      </c>
      <c r="F324" s="24" t="s">
        <v>202</v>
      </c>
      <c r="G324" s="38">
        <v>-1976399</v>
      </c>
      <c r="H324" s="38"/>
      <c r="I324" s="38"/>
      <c r="J324" s="38">
        <f t="shared" si="91"/>
        <v>-1976399</v>
      </c>
      <c r="K324" s="24"/>
      <c r="L324" s="24"/>
      <c r="M324" s="38"/>
      <c r="N324" s="38"/>
      <c r="O324" s="24"/>
      <c r="P324" s="38">
        <f t="shared" si="90"/>
        <v>-1976399</v>
      </c>
    </row>
    <row r="325" spans="1:16" s="34" customFormat="1" ht="13.2" x14ac:dyDescent="0.3">
      <c r="A325" s="24"/>
      <c r="B325" s="25"/>
      <c r="C325" s="24" t="s">
        <v>51</v>
      </c>
      <c r="D325" s="24" t="s">
        <v>21</v>
      </c>
      <c r="E325" s="24" t="s">
        <v>21</v>
      </c>
      <c r="F325" s="24" t="s">
        <v>8</v>
      </c>
      <c r="G325" s="38">
        <v>-5987.0317363237591</v>
      </c>
      <c r="H325" s="38"/>
      <c r="I325" s="38"/>
      <c r="J325" s="38">
        <f t="shared" si="91"/>
        <v>-5987.0317363237591</v>
      </c>
      <c r="K325" s="24"/>
      <c r="L325" s="24"/>
      <c r="M325" s="38"/>
      <c r="N325" s="38">
        <v>2961.2129306827637</v>
      </c>
      <c r="O325" s="24"/>
      <c r="P325" s="38">
        <f t="shared" si="90"/>
        <v>-3025.8188056409954</v>
      </c>
    </row>
    <row r="326" spans="1:16" s="34" customFormat="1" ht="25.95" customHeight="1" x14ac:dyDescent="0.3">
      <c r="A326" s="24" t="s">
        <v>203</v>
      </c>
      <c r="B326" s="25" t="s">
        <v>204</v>
      </c>
      <c r="C326" s="24" t="s">
        <v>38</v>
      </c>
      <c r="D326" s="24" t="s">
        <v>21</v>
      </c>
      <c r="E326" s="24" t="s">
        <v>21</v>
      </c>
      <c r="F326" s="24" t="s">
        <v>7</v>
      </c>
      <c r="G326" s="38">
        <v>-216401.70406293249</v>
      </c>
      <c r="H326" s="38"/>
      <c r="I326" s="38"/>
      <c r="J326" s="38">
        <f t="shared" si="91"/>
        <v>-216401.70406293249</v>
      </c>
      <c r="K326" s="24"/>
      <c r="L326" s="24"/>
      <c r="M326" s="38">
        <v>-33983.897731665216</v>
      </c>
      <c r="N326" s="38">
        <v>101192.09014170685</v>
      </c>
      <c r="O326" s="24"/>
      <c r="P326" s="38">
        <f t="shared" si="90"/>
        <v>-149193.51165289083</v>
      </c>
    </row>
    <row r="327" spans="1:16" s="34" customFormat="1" ht="13.2" x14ac:dyDescent="0.3">
      <c r="A327" s="24"/>
      <c r="B327" s="25"/>
      <c r="C327" s="24" t="s">
        <v>38</v>
      </c>
      <c r="D327" s="24" t="s">
        <v>47</v>
      </c>
      <c r="E327" s="24" t="s">
        <v>48</v>
      </c>
      <c r="F327" s="24" t="s">
        <v>7</v>
      </c>
      <c r="G327" s="38">
        <v>-746.70862068324152</v>
      </c>
      <c r="H327" s="38"/>
      <c r="I327" s="38"/>
      <c r="J327" s="38">
        <f t="shared" si="91"/>
        <v>-746.70862068324152</v>
      </c>
      <c r="K327" s="24"/>
      <c r="L327" s="24"/>
      <c r="M327" s="38">
        <v>-105.00736794040671</v>
      </c>
      <c r="N327" s="38">
        <v>78.709677741935494</v>
      </c>
      <c r="O327" s="24"/>
      <c r="P327" s="38">
        <f t="shared" si="90"/>
        <v>-773.00631088171269</v>
      </c>
    </row>
    <row r="328" spans="1:16" s="34" customFormat="1" ht="13.2" x14ac:dyDescent="0.3">
      <c r="A328" s="24"/>
      <c r="B328" s="25"/>
      <c r="C328" s="24" t="s">
        <v>38</v>
      </c>
      <c r="D328" s="24" t="s">
        <v>261</v>
      </c>
      <c r="E328" s="24" t="s">
        <v>262</v>
      </c>
      <c r="F328" s="24" t="s">
        <v>7</v>
      </c>
      <c r="G328" s="38">
        <v>0</v>
      </c>
      <c r="H328" s="38">
        <v>-2085.0354777499997</v>
      </c>
      <c r="I328" s="38"/>
      <c r="J328" s="38">
        <f t="shared" si="91"/>
        <v>-2085.0354777499997</v>
      </c>
      <c r="K328" s="24"/>
      <c r="L328" s="24"/>
      <c r="M328" s="38">
        <v>-864.00265492015933</v>
      </c>
      <c r="N328" s="38"/>
      <c r="O328" s="24"/>
      <c r="P328" s="38">
        <f t="shared" si="90"/>
        <v>-2949.038132670159</v>
      </c>
    </row>
    <row r="329" spans="1:16" s="34" customFormat="1" ht="13.2" x14ac:dyDescent="0.3">
      <c r="A329" s="24"/>
      <c r="B329" s="25"/>
      <c r="C329" s="24" t="s">
        <v>38</v>
      </c>
      <c r="D329" s="24" t="s">
        <v>313</v>
      </c>
      <c r="E329" s="24" t="s">
        <v>314</v>
      </c>
      <c r="F329" s="24" t="s">
        <v>7</v>
      </c>
      <c r="G329" s="38"/>
      <c r="H329" s="38"/>
      <c r="I329" s="38"/>
      <c r="J329" s="38">
        <f t="shared" ref="J329" si="93">+G329+H329+I329</f>
        <v>0</v>
      </c>
      <c r="K329" s="24"/>
      <c r="L329" s="38">
        <f>-2500*1</f>
        <v>-2500</v>
      </c>
      <c r="M329" s="38"/>
      <c r="N329" s="38"/>
      <c r="O329" s="24"/>
      <c r="P329" s="38">
        <f t="shared" si="90"/>
        <v>-2500</v>
      </c>
    </row>
    <row r="330" spans="1:16" s="34" customFormat="1" ht="13.2" x14ac:dyDescent="0.3">
      <c r="A330" s="24"/>
      <c r="B330" s="25"/>
      <c r="C330" s="24" t="s">
        <v>32</v>
      </c>
      <c r="D330" s="24" t="s">
        <v>21</v>
      </c>
      <c r="E330" s="24" t="s">
        <v>21</v>
      </c>
      <c r="F330" s="24" t="s">
        <v>7</v>
      </c>
      <c r="G330" s="38">
        <v>-48569.055141379307</v>
      </c>
      <c r="H330" s="38"/>
      <c r="I330" s="38"/>
      <c r="J330" s="38">
        <f t="shared" si="91"/>
        <v>-48569.055141379307</v>
      </c>
      <c r="K330" s="24"/>
      <c r="L330" s="24"/>
      <c r="M330" s="38"/>
      <c r="N330" s="38">
        <v>28654.989571982118</v>
      </c>
      <c r="O330" s="24"/>
      <c r="P330" s="38">
        <f t="shared" si="90"/>
        <v>-19914.065569397189</v>
      </c>
    </row>
    <row r="331" spans="1:16" s="34" customFormat="1" ht="13.2" x14ac:dyDescent="0.3">
      <c r="A331" s="24"/>
      <c r="B331" s="25"/>
      <c r="C331" s="24" t="s">
        <v>35</v>
      </c>
      <c r="D331" s="24" t="s">
        <v>205</v>
      </c>
      <c r="E331" s="24" t="s">
        <v>206</v>
      </c>
      <c r="F331" s="24" t="s">
        <v>207</v>
      </c>
      <c r="G331" s="38">
        <v>-17799999.999990001</v>
      </c>
      <c r="H331" s="38"/>
      <c r="I331" s="38"/>
      <c r="J331" s="38">
        <f t="shared" si="91"/>
        <v>-17799999.999990001</v>
      </c>
      <c r="K331" s="24"/>
      <c r="L331" s="24"/>
      <c r="M331" s="38"/>
      <c r="N331" s="38">
        <v>17800000.000009999</v>
      </c>
      <c r="O331" s="24"/>
      <c r="P331" s="38">
        <f t="shared" si="90"/>
        <v>1.9997358322143555E-5</v>
      </c>
    </row>
    <row r="332" spans="1:16" s="34" customFormat="1" ht="13.2" x14ac:dyDescent="0.3">
      <c r="A332" s="24"/>
      <c r="B332" s="25"/>
      <c r="C332" s="24" t="s">
        <v>35</v>
      </c>
      <c r="D332" s="24" t="s">
        <v>208</v>
      </c>
      <c r="E332" s="24" t="s">
        <v>209</v>
      </c>
      <c r="F332" s="24" t="s">
        <v>252</v>
      </c>
      <c r="G332" s="38">
        <v>-5000000</v>
      </c>
      <c r="H332" s="38"/>
      <c r="I332" s="38"/>
      <c r="J332" s="38">
        <f t="shared" si="91"/>
        <v>-5000000</v>
      </c>
      <c r="K332" s="24"/>
      <c r="L332" s="24"/>
      <c r="M332" s="38"/>
      <c r="N332" s="38">
        <v>5000000.0000099996</v>
      </c>
      <c r="O332" s="24"/>
      <c r="P332" s="38">
        <f t="shared" si="90"/>
        <v>9.9996104836463928E-6</v>
      </c>
    </row>
    <row r="333" spans="1:16" s="34" customFormat="1" ht="13.2" x14ac:dyDescent="0.3">
      <c r="A333" s="24"/>
      <c r="B333" s="25"/>
      <c r="C333" s="24" t="s">
        <v>35</v>
      </c>
      <c r="D333" s="24" t="s">
        <v>210</v>
      </c>
      <c r="E333" s="24" t="s">
        <v>211</v>
      </c>
      <c r="F333" s="24" t="s">
        <v>252</v>
      </c>
      <c r="G333" s="38">
        <v>-1000000</v>
      </c>
      <c r="H333" s="38"/>
      <c r="I333" s="38"/>
      <c r="J333" s="38">
        <f t="shared" si="91"/>
        <v>-1000000</v>
      </c>
      <c r="K333" s="24"/>
      <c r="L333" s="24"/>
      <c r="M333" s="38"/>
      <c r="N333" s="38">
        <v>1000000.00001</v>
      </c>
      <c r="O333" s="24"/>
      <c r="P333" s="38">
        <f t="shared" si="90"/>
        <v>9.9999597296118736E-6</v>
      </c>
    </row>
    <row r="334" spans="1:16" s="34" customFormat="1" ht="13.2" x14ac:dyDescent="0.3">
      <c r="A334" s="24"/>
      <c r="B334" s="25"/>
      <c r="C334" s="24" t="s">
        <v>35</v>
      </c>
      <c r="D334" s="24" t="s">
        <v>212</v>
      </c>
      <c r="E334" s="24" t="s">
        <v>213</v>
      </c>
      <c r="F334" s="24" t="s">
        <v>252</v>
      </c>
      <c r="G334" s="38">
        <v>-2000000</v>
      </c>
      <c r="H334" s="38"/>
      <c r="I334" s="38"/>
      <c r="J334" s="38">
        <f t="shared" si="91"/>
        <v>-2000000</v>
      </c>
      <c r="K334" s="24"/>
      <c r="L334" s="24"/>
      <c r="M334" s="38"/>
      <c r="N334" s="38">
        <v>2000000.0000100001</v>
      </c>
      <c r="O334" s="24"/>
      <c r="P334" s="38">
        <f t="shared" si="90"/>
        <v>1.0000076144933701E-5</v>
      </c>
    </row>
    <row r="335" spans="1:16" s="34" customFormat="1" ht="13.2" x14ac:dyDescent="0.3">
      <c r="A335" s="24"/>
      <c r="B335" s="25"/>
      <c r="C335" s="24" t="s">
        <v>51</v>
      </c>
      <c r="D335" s="24" t="s">
        <v>21</v>
      </c>
      <c r="E335" s="24" t="s">
        <v>21</v>
      </c>
      <c r="F335" s="24" t="s">
        <v>8</v>
      </c>
      <c r="G335" s="38">
        <v>-1318.4636846030062</v>
      </c>
      <c r="H335" s="38"/>
      <c r="I335" s="38"/>
      <c r="J335" s="38">
        <f t="shared" si="91"/>
        <v>-1318.4636846030062</v>
      </c>
      <c r="K335" s="24"/>
      <c r="L335" s="24"/>
      <c r="M335" s="38"/>
      <c r="N335" s="38">
        <v>631.74437447200444</v>
      </c>
      <c r="O335" s="24"/>
      <c r="P335" s="38">
        <f t="shared" si="90"/>
        <v>-686.71931013100175</v>
      </c>
    </row>
    <row r="336" spans="1:16" s="34" customFormat="1" ht="26.4" x14ac:dyDescent="0.3">
      <c r="A336" s="24" t="s">
        <v>214</v>
      </c>
      <c r="B336" s="25" t="s">
        <v>215</v>
      </c>
      <c r="C336" s="24" t="s">
        <v>38</v>
      </c>
      <c r="D336" s="24" t="s">
        <v>21</v>
      </c>
      <c r="E336" s="24" t="s">
        <v>21</v>
      </c>
      <c r="F336" s="24" t="s">
        <v>7</v>
      </c>
      <c r="G336" s="38">
        <v>-1118924.6839277653</v>
      </c>
      <c r="H336" s="38"/>
      <c r="I336" s="38"/>
      <c r="J336" s="38">
        <f t="shared" si="91"/>
        <v>-1118924.6839277653</v>
      </c>
      <c r="K336" s="38"/>
      <c r="L336" s="38"/>
      <c r="M336" s="38">
        <v>-311877.2917033619</v>
      </c>
      <c r="N336" s="38">
        <v>380230.34778293956</v>
      </c>
      <c r="O336" s="24"/>
      <c r="P336" s="38">
        <f t="shared" si="90"/>
        <v>-1050571.6278481875</v>
      </c>
    </row>
    <row r="337" spans="1:16" s="34" customFormat="1" ht="13.2" x14ac:dyDescent="0.3">
      <c r="A337" s="24"/>
      <c r="B337" s="25"/>
      <c r="C337" s="24" t="s">
        <v>38</v>
      </c>
      <c r="D337" s="24" t="s">
        <v>45</v>
      </c>
      <c r="E337" s="24" t="s">
        <v>46</v>
      </c>
      <c r="F337" s="24" t="s">
        <v>7</v>
      </c>
      <c r="G337" s="38">
        <v>-1399559.7</v>
      </c>
      <c r="H337" s="38">
        <v>-285211</v>
      </c>
      <c r="I337" s="38"/>
      <c r="J337" s="38">
        <f t="shared" si="91"/>
        <v>-1684770.7</v>
      </c>
      <c r="K337" s="24"/>
      <c r="L337" s="24"/>
      <c r="M337" s="38"/>
      <c r="N337" s="38">
        <v>579336.45002310001</v>
      </c>
      <c r="O337" s="24"/>
      <c r="P337" s="38">
        <f t="shared" si="90"/>
        <v>-1105434.2499768999</v>
      </c>
    </row>
    <row r="338" spans="1:16" s="34" customFormat="1" ht="13.2" x14ac:dyDescent="0.3">
      <c r="A338" s="24"/>
      <c r="B338" s="25"/>
      <c r="C338" s="24" t="s">
        <v>38</v>
      </c>
      <c r="D338" s="24" t="s">
        <v>216</v>
      </c>
      <c r="E338" s="24" t="s">
        <v>217</v>
      </c>
      <c r="F338" s="24" t="s">
        <v>7</v>
      </c>
      <c r="G338" s="38">
        <v>-65712.240505121648</v>
      </c>
      <c r="H338" s="38"/>
      <c r="I338" s="38"/>
      <c r="J338" s="38">
        <f t="shared" si="91"/>
        <v>-65712.240505121648</v>
      </c>
      <c r="K338" s="24"/>
      <c r="L338" s="24"/>
      <c r="M338" s="38"/>
      <c r="N338" s="38"/>
      <c r="O338" s="24"/>
      <c r="P338" s="38">
        <f t="shared" si="90"/>
        <v>-65712.240505121648</v>
      </c>
    </row>
    <row r="339" spans="1:16" s="34" customFormat="1" ht="13.2" x14ac:dyDescent="0.3">
      <c r="A339" s="24"/>
      <c r="B339" s="25"/>
      <c r="C339" s="24" t="s">
        <v>38</v>
      </c>
      <c r="D339" s="24" t="s">
        <v>47</v>
      </c>
      <c r="E339" s="24" t="s">
        <v>48</v>
      </c>
      <c r="F339" s="24" t="s">
        <v>7</v>
      </c>
      <c r="G339" s="38">
        <v>-2191.4507673460798</v>
      </c>
      <c r="H339" s="38"/>
      <c r="I339" s="38"/>
      <c r="J339" s="38">
        <f t="shared" si="91"/>
        <v>-2191.4507673460798</v>
      </c>
      <c r="K339" s="24"/>
      <c r="L339" s="24"/>
      <c r="M339" s="38">
        <v>-281.06663270159106</v>
      </c>
      <c r="N339" s="38"/>
      <c r="O339" s="24"/>
      <c r="P339" s="38">
        <f t="shared" si="90"/>
        <v>-2472.5174000476709</v>
      </c>
    </row>
    <row r="340" spans="1:16" s="34" customFormat="1" ht="13.2" x14ac:dyDescent="0.3">
      <c r="A340" s="24"/>
      <c r="B340" s="25"/>
      <c r="C340" s="24" t="s">
        <v>38</v>
      </c>
      <c r="D340" s="24" t="s">
        <v>218</v>
      </c>
      <c r="E340" s="24" t="s">
        <v>219</v>
      </c>
      <c r="F340" s="24" t="s">
        <v>7</v>
      </c>
      <c r="G340" s="38">
        <v>-166196</v>
      </c>
      <c r="H340" s="38"/>
      <c r="I340" s="38"/>
      <c r="J340" s="38">
        <f t="shared" si="91"/>
        <v>-166196</v>
      </c>
      <c r="K340" s="24"/>
      <c r="L340" s="24"/>
      <c r="M340" s="38">
        <v>-7068.3800200000114</v>
      </c>
      <c r="N340" s="38"/>
      <c r="O340" s="24"/>
      <c r="P340" s="38">
        <f t="shared" si="90"/>
        <v>-173264.38002000001</v>
      </c>
    </row>
    <row r="341" spans="1:16" s="34" customFormat="1" ht="13.2" x14ac:dyDescent="0.3">
      <c r="A341" s="24"/>
      <c r="B341" s="25"/>
      <c r="C341" s="24" t="s">
        <v>38</v>
      </c>
      <c r="D341" s="24" t="s">
        <v>277</v>
      </c>
      <c r="E341" s="24" t="s">
        <v>278</v>
      </c>
      <c r="F341" s="24" t="s">
        <v>7</v>
      </c>
      <c r="G341" s="38">
        <v>0</v>
      </c>
      <c r="H341" s="38">
        <v>-994500</v>
      </c>
      <c r="I341" s="38"/>
      <c r="J341" s="38">
        <f t="shared" si="91"/>
        <v>-994500</v>
      </c>
      <c r="K341" s="24"/>
      <c r="L341" s="24"/>
      <c r="M341" s="38">
        <v>6945.0799999999581</v>
      </c>
      <c r="N341" s="38"/>
      <c r="O341" s="24"/>
      <c r="P341" s="38">
        <f t="shared" si="90"/>
        <v>-987554.92</v>
      </c>
    </row>
    <row r="342" spans="1:16" s="34" customFormat="1" ht="13.2" x14ac:dyDescent="0.3">
      <c r="A342" s="24"/>
      <c r="B342" s="25"/>
      <c r="C342" s="24" t="s">
        <v>38</v>
      </c>
      <c r="D342" s="24" t="s">
        <v>261</v>
      </c>
      <c r="E342" s="24" t="s">
        <v>262</v>
      </c>
      <c r="F342" s="24" t="s">
        <v>7</v>
      </c>
      <c r="G342" s="38">
        <v>0</v>
      </c>
      <c r="H342" s="38">
        <v>-5148.3543982500014</v>
      </c>
      <c r="I342" s="38"/>
      <c r="J342" s="38">
        <f t="shared" si="91"/>
        <v>-5148.3543982500014</v>
      </c>
      <c r="K342" s="24"/>
      <c r="L342" s="24"/>
      <c r="M342" s="38">
        <v>-2507.3695413713376</v>
      </c>
      <c r="N342" s="38"/>
      <c r="O342" s="24"/>
      <c r="P342" s="38">
        <f t="shared" si="90"/>
        <v>-7655.723939621339</v>
      </c>
    </row>
    <row r="343" spans="1:16" s="34" customFormat="1" ht="13.2" x14ac:dyDescent="0.3">
      <c r="A343" s="24"/>
      <c r="B343" s="25"/>
      <c r="C343" s="24" t="s">
        <v>38</v>
      </c>
      <c r="D343" s="24" t="s">
        <v>313</v>
      </c>
      <c r="E343" s="24" t="s">
        <v>314</v>
      </c>
      <c r="F343" s="24" t="s">
        <v>7</v>
      </c>
      <c r="G343" s="38"/>
      <c r="H343" s="38"/>
      <c r="I343" s="38"/>
      <c r="J343" s="38">
        <f t="shared" si="91"/>
        <v>0</v>
      </c>
      <c r="K343" s="24"/>
      <c r="L343" s="38">
        <f>-2500*1</f>
        <v>-2500</v>
      </c>
      <c r="M343" s="38"/>
      <c r="N343" s="38"/>
      <c r="O343" s="24"/>
      <c r="P343" s="38">
        <f t="shared" si="90"/>
        <v>-2500</v>
      </c>
    </row>
    <row r="344" spans="1:16" s="34" customFormat="1" ht="13.2" x14ac:dyDescent="0.3">
      <c r="A344" s="24"/>
      <c r="B344" s="25"/>
      <c r="C344" s="24" t="s">
        <v>32</v>
      </c>
      <c r="D344" s="24" t="s">
        <v>21</v>
      </c>
      <c r="E344" s="24" t="s">
        <v>21</v>
      </c>
      <c r="F344" s="24" t="s">
        <v>7</v>
      </c>
      <c r="G344" s="38">
        <v>-76801.718919720151</v>
      </c>
      <c r="H344" s="38"/>
      <c r="I344" s="38"/>
      <c r="J344" s="38">
        <f t="shared" si="91"/>
        <v>-76801.718919720151</v>
      </c>
      <c r="K344" s="24"/>
      <c r="L344" s="24"/>
      <c r="M344" s="38"/>
      <c r="N344" s="38">
        <v>26925.436811725995</v>
      </c>
      <c r="O344" s="24"/>
      <c r="P344" s="38">
        <f t="shared" si="90"/>
        <v>-49876.282107994157</v>
      </c>
    </row>
    <row r="345" spans="1:16" s="34" customFormat="1" ht="13.2" x14ac:dyDescent="0.3">
      <c r="A345" s="24"/>
      <c r="B345" s="25"/>
      <c r="C345" s="24" t="s">
        <v>51</v>
      </c>
      <c r="D345" s="24" t="s">
        <v>21</v>
      </c>
      <c r="E345" s="24" t="s">
        <v>21</v>
      </c>
      <c r="F345" s="24" t="s">
        <v>8</v>
      </c>
      <c r="G345" s="38">
        <v>-71945.668098530936</v>
      </c>
      <c r="H345" s="38"/>
      <c r="I345" s="38"/>
      <c r="J345" s="38">
        <f t="shared" si="91"/>
        <v>-71945.668098530936</v>
      </c>
      <c r="K345" s="24"/>
      <c r="L345" s="24"/>
      <c r="M345" s="38"/>
      <c r="N345" s="38">
        <v>22586.034202160077</v>
      </c>
      <c r="O345" s="24"/>
      <c r="P345" s="38">
        <f t="shared" si="90"/>
        <v>-49359.633896370855</v>
      </c>
    </row>
    <row r="346" spans="1:16" s="34" customFormat="1" ht="25.95" customHeight="1" x14ac:dyDescent="0.3">
      <c r="A346" s="24" t="s">
        <v>220</v>
      </c>
      <c r="B346" s="25" t="s">
        <v>221</v>
      </c>
      <c r="C346" s="24" t="s">
        <v>38</v>
      </c>
      <c r="D346" s="24" t="s">
        <v>21</v>
      </c>
      <c r="E346" s="24" t="s">
        <v>21</v>
      </c>
      <c r="F346" s="24" t="s">
        <v>253</v>
      </c>
      <c r="G346" s="38">
        <v>-40065002.14580331</v>
      </c>
      <c r="H346" s="38"/>
      <c r="I346" s="38"/>
      <c r="J346" s="38">
        <f t="shared" si="91"/>
        <v>-40065002.14580331</v>
      </c>
      <c r="K346" s="24"/>
      <c r="L346" s="24"/>
      <c r="M346" s="38">
        <v>-1126467.4261873253</v>
      </c>
      <c r="N346" s="38">
        <v>19423597.909191415</v>
      </c>
      <c r="O346" s="24"/>
      <c r="P346" s="38">
        <f t="shared" si="90"/>
        <v>-21767871.662799224</v>
      </c>
    </row>
    <row r="347" spans="1:16" s="34" customFormat="1" ht="13.2" x14ac:dyDescent="0.3">
      <c r="A347" s="24"/>
      <c r="B347" s="25"/>
      <c r="C347" s="24" t="s">
        <v>38</v>
      </c>
      <c r="D347" s="24" t="s">
        <v>47</v>
      </c>
      <c r="E347" s="24" t="s">
        <v>48</v>
      </c>
      <c r="F347" s="24" t="s">
        <v>7</v>
      </c>
      <c r="G347" s="38">
        <v>-857.29243090142609</v>
      </c>
      <c r="H347" s="38"/>
      <c r="I347" s="38"/>
      <c r="J347" s="38">
        <f t="shared" si="91"/>
        <v>-857.29243090142609</v>
      </c>
      <c r="K347" s="24"/>
      <c r="L347" s="24"/>
      <c r="M347" s="38">
        <v>-101</v>
      </c>
      <c r="N347" s="38"/>
      <c r="O347" s="24"/>
      <c r="P347" s="38">
        <f t="shared" si="90"/>
        <v>-958.29243090142609</v>
      </c>
    </row>
    <row r="348" spans="1:16" s="34" customFormat="1" ht="13.2" x14ac:dyDescent="0.3">
      <c r="A348" s="24"/>
      <c r="B348" s="25"/>
      <c r="C348" s="24" t="s">
        <v>38</v>
      </c>
      <c r="D348" s="24" t="s">
        <v>261</v>
      </c>
      <c r="E348" s="24" t="s">
        <v>262</v>
      </c>
      <c r="F348" s="24" t="s">
        <v>7</v>
      </c>
      <c r="G348" s="38">
        <v>0</v>
      </c>
      <c r="H348" s="38">
        <v>-4101.8327504999997</v>
      </c>
      <c r="I348" s="38"/>
      <c r="J348" s="38">
        <f t="shared" si="91"/>
        <v>-4101.8327504999997</v>
      </c>
      <c r="K348" s="24"/>
      <c r="L348" s="24"/>
      <c r="M348" s="38">
        <v>-2044</v>
      </c>
      <c r="N348" s="38"/>
      <c r="O348" s="24"/>
      <c r="P348" s="38">
        <f t="shared" si="90"/>
        <v>-6145.8327504999997</v>
      </c>
    </row>
    <row r="349" spans="1:16" s="34" customFormat="1" ht="13.2" x14ac:dyDescent="0.3">
      <c r="A349" s="24"/>
      <c r="B349" s="25"/>
      <c r="C349" s="24" t="s">
        <v>38</v>
      </c>
      <c r="D349" s="24" t="s">
        <v>313</v>
      </c>
      <c r="E349" s="24" t="s">
        <v>314</v>
      </c>
      <c r="F349" s="24" t="s">
        <v>7</v>
      </c>
      <c r="G349" s="38"/>
      <c r="H349" s="38"/>
      <c r="I349" s="38"/>
      <c r="J349" s="38">
        <f t="shared" ref="J349" si="94">+G349+H349+I349</f>
        <v>0</v>
      </c>
      <c r="K349" s="24"/>
      <c r="L349" s="38">
        <f>-2500*1</f>
        <v>-2500</v>
      </c>
      <c r="M349" s="38"/>
      <c r="N349" s="38"/>
      <c r="O349" s="24"/>
      <c r="P349" s="38">
        <f t="shared" si="90"/>
        <v>-2500</v>
      </c>
    </row>
    <row r="350" spans="1:16" s="34" customFormat="1" ht="13.2" x14ac:dyDescent="0.3">
      <c r="A350" s="24"/>
      <c r="B350" s="25"/>
      <c r="C350" s="24" t="s">
        <v>38</v>
      </c>
      <c r="D350" s="24" t="s">
        <v>294</v>
      </c>
      <c r="E350" s="24" t="s">
        <v>295</v>
      </c>
      <c r="F350" s="24" t="s">
        <v>7</v>
      </c>
      <c r="G350" s="38"/>
      <c r="H350" s="38"/>
      <c r="I350" s="38"/>
      <c r="J350" s="38">
        <v>0</v>
      </c>
      <c r="K350" s="24"/>
      <c r="L350" s="24"/>
      <c r="M350" s="38">
        <v>-825824.27</v>
      </c>
      <c r="N350" s="38"/>
      <c r="O350" s="24"/>
      <c r="P350" s="38">
        <f t="shared" si="90"/>
        <v>-825824.27</v>
      </c>
    </row>
    <row r="351" spans="1:16" s="34" customFormat="1" ht="13.2" x14ac:dyDescent="0.3">
      <c r="A351" s="24"/>
      <c r="B351" s="25"/>
      <c r="C351" s="24" t="s">
        <v>32</v>
      </c>
      <c r="D351" s="24" t="s">
        <v>21</v>
      </c>
      <c r="E351" s="24" t="s">
        <v>21</v>
      </c>
      <c r="F351" s="24" t="s">
        <v>7</v>
      </c>
      <c r="G351" s="38">
        <v>-67800.995377195897</v>
      </c>
      <c r="H351" s="38"/>
      <c r="I351" s="38"/>
      <c r="J351" s="38">
        <f t="shared" si="91"/>
        <v>-67800.995377195897</v>
      </c>
      <c r="K351" s="24"/>
      <c r="L351" s="24"/>
      <c r="M351" s="38"/>
      <c r="N351" s="38">
        <v>33663.195780264563</v>
      </c>
      <c r="O351" s="24"/>
      <c r="P351" s="38">
        <f t="shared" si="90"/>
        <v>-34137.799596931334</v>
      </c>
    </row>
    <row r="352" spans="1:16" s="34" customFormat="1" ht="13.2" x14ac:dyDescent="0.3">
      <c r="A352" s="24"/>
      <c r="B352" s="25"/>
      <c r="C352" s="24" t="s">
        <v>51</v>
      </c>
      <c r="D352" s="24" t="s">
        <v>21</v>
      </c>
      <c r="E352" s="24" t="s">
        <v>21</v>
      </c>
      <c r="F352" s="24" t="s">
        <v>8</v>
      </c>
      <c r="G352" s="38">
        <v>-3541.6423814042737</v>
      </c>
      <c r="H352" s="38"/>
      <c r="I352" s="38"/>
      <c r="J352" s="38">
        <f t="shared" si="91"/>
        <v>-3541.6423814042737</v>
      </c>
      <c r="K352" s="24"/>
      <c r="L352" s="24"/>
      <c r="M352" s="38"/>
      <c r="N352" s="38">
        <v>1723.0756513472684</v>
      </c>
      <c r="O352" s="24"/>
      <c r="P352" s="38">
        <f t="shared" si="90"/>
        <v>-1818.5667300570053</v>
      </c>
    </row>
    <row r="353" spans="1:16" s="34" customFormat="1" ht="13.2" x14ac:dyDescent="0.3">
      <c r="A353" s="85" t="s">
        <v>315</v>
      </c>
      <c r="B353" s="85"/>
      <c r="C353" s="33"/>
      <c r="D353" s="33"/>
      <c r="E353" s="33"/>
      <c r="F353" s="33"/>
      <c r="G353" s="31">
        <f t="shared" ref="G353:M353" si="95">+SUBTOTAL(9, G356:G377)</f>
        <v>0</v>
      </c>
      <c r="H353" s="31">
        <f t="shared" si="95"/>
        <v>0</v>
      </c>
      <c r="I353" s="31">
        <f t="shared" si="95"/>
        <v>0</v>
      </c>
      <c r="J353" s="31">
        <f t="shared" si="95"/>
        <v>0</v>
      </c>
      <c r="K353" s="31">
        <f t="shared" si="95"/>
        <v>0</v>
      </c>
      <c r="L353" s="31">
        <f t="shared" si="95"/>
        <v>0</v>
      </c>
      <c r="M353" s="31">
        <f t="shared" si="95"/>
        <v>0</v>
      </c>
      <c r="N353" s="31">
        <f>+SUBTOTAL(9,N356:N377)</f>
        <v>-451062138.52877396</v>
      </c>
      <c r="O353" s="31">
        <f t="shared" ref="O353:P353" si="96">+SUBTOTAL(9,O356:O377)</f>
        <v>0</v>
      </c>
      <c r="P353" s="31">
        <f t="shared" si="96"/>
        <v>-451062138.52877396</v>
      </c>
    </row>
    <row r="354" spans="1:16" s="34" customFormat="1" ht="13.2" x14ac:dyDescent="0.3">
      <c r="A354" s="50" t="s">
        <v>341</v>
      </c>
      <c r="B354" s="51"/>
      <c r="C354" s="28"/>
      <c r="D354" s="33"/>
      <c r="E354" s="33"/>
      <c r="F354" s="33"/>
      <c r="G354" s="31">
        <f>+SUBTOTAL(9, G356:G369)</f>
        <v>0</v>
      </c>
      <c r="H354" s="31">
        <f t="shared" ref="H354:M354" si="97">+SUBTOTAL(9, H356:H369)</f>
        <v>0</v>
      </c>
      <c r="I354" s="31">
        <f t="shared" si="97"/>
        <v>0</v>
      </c>
      <c r="J354" s="31">
        <f t="shared" si="97"/>
        <v>0</v>
      </c>
      <c r="K354" s="31">
        <f t="shared" si="97"/>
        <v>0</v>
      </c>
      <c r="L354" s="31">
        <f t="shared" si="97"/>
        <v>0</v>
      </c>
      <c r="M354" s="31">
        <f t="shared" si="97"/>
        <v>0</v>
      </c>
      <c r="N354" s="31">
        <f>+SUBTOTAL(9, N356:N369)</f>
        <v>-450087399.32877398</v>
      </c>
      <c r="O354" s="31">
        <f t="shared" ref="O354:P354" si="98">+SUBTOTAL(9, O356:O369)</f>
        <v>0</v>
      </c>
      <c r="P354" s="31">
        <f t="shared" si="98"/>
        <v>-450087399.32877398</v>
      </c>
    </row>
    <row r="355" spans="1:16" s="34" customFormat="1" ht="13.2" x14ac:dyDescent="0.3">
      <c r="A355" s="84" t="s">
        <v>42</v>
      </c>
      <c r="B355" s="84"/>
      <c r="C355" s="35"/>
      <c r="D355" s="33"/>
      <c r="E355" s="33"/>
      <c r="F355" s="33"/>
      <c r="G355" s="31">
        <f t="shared" ref="G355:M355" si="99">+SUBTOTAL(9, G356:G377)</f>
        <v>0</v>
      </c>
      <c r="H355" s="31">
        <f t="shared" si="99"/>
        <v>0</v>
      </c>
      <c r="I355" s="31">
        <f t="shared" si="99"/>
        <v>0</v>
      </c>
      <c r="J355" s="31">
        <f t="shared" si="99"/>
        <v>0</v>
      </c>
      <c r="K355" s="31">
        <f t="shared" si="99"/>
        <v>0</v>
      </c>
      <c r="L355" s="31">
        <f t="shared" si="99"/>
        <v>0</v>
      </c>
      <c r="M355" s="31">
        <f t="shared" si="99"/>
        <v>0</v>
      </c>
      <c r="N355" s="31">
        <f>+SUBTOTAL(9, N356:N369)</f>
        <v>-450087399.32877398</v>
      </c>
      <c r="O355" s="31">
        <f t="shared" ref="O355:P355" si="100">+SUBTOTAL(9, O356:O369)</f>
        <v>0</v>
      </c>
      <c r="P355" s="31">
        <f t="shared" si="100"/>
        <v>-450087399.32877398</v>
      </c>
    </row>
    <row r="356" spans="1:16" s="34" customFormat="1" x14ac:dyDescent="0.3">
      <c r="A356" s="24" t="s">
        <v>316</v>
      </c>
      <c r="B356" s="25" t="s">
        <v>319</v>
      </c>
      <c r="C356" s="24" t="s">
        <v>38</v>
      </c>
      <c r="D356" s="70"/>
      <c r="E356" s="70"/>
      <c r="F356" s="24" t="s">
        <v>7</v>
      </c>
      <c r="G356" s="70"/>
      <c r="H356" s="70"/>
      <c r="I356" s="70"/>
      <c r="J356" s="70"/>
      <c r="K356" s="70"/>
      <c r="L356" s="70"/>
      <c r="M356" s="72"/>
      <c r="N356" s="38">
        <v>-762254.93998999998</v>
      </c>
      <c r="O356" s="24"/>
      <c r="P356" s="38">
        <f t="shared" ref="P356:P375" si="101">+J356+K356+L356+M356+N356+O356</f>
        <v>-762254.93998999998</v>
      </c>
    </row>
    <row r="357" spans="1:16" s="34" customFormat="1" x14ac:dyDescent="0.3">
      <c r="A357" s="24"/>
      <c r="B357" s="25"/>
      <c r="C357" s="24" t="s">
        <v>38</v>
      </c>
      <c r="D357" s="24" t="s">
        <v>45</v>
      </c>
      <c r="E357" s="24" t="s">
        <v>46</v>
      </c>
      <c r="F357" s="24" t="s">
        <v>7</v>
      </c>
      <c r="G357" s="70"/>
      <c r="H357" s="70"/>
      <c r="I357" s="70"/>
      <c r="J357" s="70"/>
      <c r="K357" s="70"/>
      <c r="L357" s="70"/>
      <c r="M357" s="72"/>
      <c r="N357" s="38">
        <v>-158601</v>
      </c>
      <c r="O357" s="24"/>
      <c r="P357" s="38">
        <f t="shared" si="101"/>
        <v>-158601</v>
      </c>
    </row>
    <row r="358" spans="1:16" s="34" customFormat="1" x14ac:dyDescent="0.3">
      <c r="A358" s="24"/>
      <c r="B358" s="25"/>
      <c r="C358" s="24" t="s">
        <v>32</v>
      </c>
      <c r="D358" s="70"/>
      <c r="E358" s="70"/>
      <c r="F358" s="24" t="s">
        <v>7</v>
      </c>
      <c r="G358" s="70"/>
      <c r="H358" s="70"/>
      <c r="I358" s="70"/>
      <c r="J358" s="70"/>
      <c r="K358" s="70"/>
      <c r="L358" s="70"/>
      <c r="M358" s="72"/>
      <c r="N358" s="38">
        <v>-107246</v>
      </c>
      <c r="O358" s="24"/>
      <c r="P358" s="38">
        <f t="shared" si="101"/>
        <v>-107246</v>
      </c>
    </row>
    <row r="359" spans="1:16" x14ac:dyDescent="0.3">
      <c r="A359" s="70"/>
      <c r="B359" s="71"/>
      <c r="C359" s="24" t="s">
        <v>35</v>
      </c>
      <c r="D359" s="24"/>
      <c r="E359" s="70"/>
      <c r="F359" s="24" t="s">
        <v>7</v>
      </c>
      <c r="G359" s="70"/>
      <c r="H359" s="70"/>
      <c r="I359" s="70"/>
      <c r="J359" s="70"/>
      <c r="K359" s="70"/>
      <c r="L359" s="70"/>
      <c r="M359" s="72"/>
      <c r="N359" s="38">
        <v>-590065.71</v>
      </c>
      <c r="O359" s="70"/>
      <c r="P359" s="38">
        <f t="shared" si="101"/>
        <v>-590065.71</v>
      </c>
    </row>
    <row r="360" spans="1:16" s="34" customFormat="1" ht="26.4" x14ac:dyDescent="0.3">
      <c r="A360" s="24" t="s">
        <v>317</v>
      </c>
      <c r="B360" s="25" t="s">
        <v>320</v>
      </c>
      <c r="C360" s="24" t="s">
        <v>26</v>
      </c>
      <c r="D360" s="24" t="s">
        <v>327</v>
      </c>
      <c r="E360" s="24" t="s">
        <v>334</v>
      </c>
      <c r="F360" s="24" t="s">
        <v>7</v>
      </c>
      <c r="G360" s="38"/>
      <c r="H360" s="38"/>
      <c r="I360" s="38"/>
      <c r="J360" s="38"/>
      <c r="K360" s="24"/>
      <c r="L360" s="24"/>
      <c r="M360" s="38"/>
      <c r="N360" s="38">
        <v>-16534803.369616801</v>
      </c>
      <c r="O360" s="24"/>
      <c r="P360" s="38">
        <f t="shared" si="101"/>
        <v>-16534803.369616801</v>
      </c>
    </row>
    <row r="361" spans="1:16" s="34" customFormat="1" ht="13.2" x14ac:dyDescent="0.3">
      <c r="A361" s="24"/>
      <c r="B361" s="25"/>
      <c r="C361" s="24" t="s">
        <v>26</v>
      </c>
      <c r="D361" s="24" t="s">
        <v>328</v>
      </c>
      <c r="E361" s="24" t="s">
        <v>333</v>
      </c>
      <c r="F361" s="24" t="s">
        <v>7</v>
      </c>
      <c r="G361" s="38"/>
      <c r="H361" s="38"/>
      <c r="I361" s="38"/>
      <c r="J361" s="38"/>
      <c r="K361" s="24"/>
      <c r="L361" s="24"/>
      <c r="M361" s="38"/>
      <c r="N361" s="38">
        <v>-19606791.173259299</v>
      </c>
      <c r="O361" s="24"/>
      <c r="P361" s="38">
        <f t="shared" si="101"/>
        <v>-19606791.173259299</v>
      </c>
    </row>
    <row r="362" spans="1:16" s="34" customFormat="1" ht="13.2" x14ac:dyDescent="0.3">
      <c r="A362" s="24"/>
      <c r="B362" s="25"/>
      <c r="C362" s="24" t="s">
        <v>26</v>
      </c>
      <c r="D362" s="24" t="s">
        <v>329</v>
      </c>
      <c r="E362" s="24" t="s">
        <v>335</v>
      </c>
      <c r="F362" s="24" t="s">
        <v>7</v>
      </c>
      <c r="G362" s="38"/>
      <c r="H362" s="38"/>
      <c r="I362" s="38"/>
      <c r="J362" s="38"/>
      <c r="K362" s="24"/>
      <c r="L362" s="24"/>
      <c r="M362" s="38"/>
      <c r="N362" s="38">
        <v>-19622122.8726939</v>
      </c>
      <c r="O362" s="24"/>
      <c r="P362" s="38">
        <f t="shared" si="101"/>
        <v>-19622122.8726939</v>
      </c>
    </row>
    <row r="363" spans="1:16" s="34" customFormat="1" ht="13.2" x14ac:dyDescent="0.3">
      <c r="A363" s="24"/>
      <c r="B363" s="25"/>
      <c r="C363" s="24" t="s">
        <v>26</v>
      </c>
      <c r="D363" s="24" t="s">
        <v>330</v>
      </c>
      <c r="E363" s="24" t="s">
        <v>336</v>
      </c>
      <c r="F363" s="24" t="s">
        <v>7</v>
      </c>
      <c r="G363" s="38"/>
      <c r="H363" s="38"/>
      <c r="I363" s="38"/>
      <c r="J363" s="38"/>
      <c r="K363" s="24"/>
      <c r="L363" s="24"/>
      <c r="M363" s="38"/>
      <c r="N363" s="38">
        <v>-224724543.26321399</v>
      </c>
      <c r="O363" s="24"/>
      <c r="P363" s="38">
        <f t="shared" si="101"/>
        <v>-224724543.26321399</v>
      </c>
    </row>
    <row r="364" spans="1:16" s="34" customFormat="1" x14ac:dyDescent="0.3">
      <c r="A364" s="24"/>
      <c r="B364" s="25"/>
      <c r="C364" s="24" t="s">
        <v>96</v>
      </c>
      <c r="D364" s="70"/>
      <c r="E364" s="70"/>
      <c r="F364" s="24" t="s">
        <v>7</v>
      </c>
      <c r="G364" s="70"/>
      <c r="H364" s="70"/>
      <c r="I364" s="70"/>
      <c r="J364" s="70"/>
      <c r="K364" s="70"/>
      <c r="L364" s="70"/>
      <c r="M364" s="72"/>
      <c r="N364" s="38">
        <v>-4124814</v>
      </c>
      <c r="O364" s="24"/>
      <c r="P364" s="38">
        <f t="shared" si="101"/>
        <v>-4124814</v>
      </c>
    </row>
    <row r="365" spans="1:16" s="34" customFormat="1" ht="13.2" x14ac:dyDescent="0.3">
      <c r="A365" s="24"/>
      <c r="B365" s="25"/>
      <c r="C365" s="24" t="s">
        <v>32</v>
      </c>
      <c r="D365" s="24"/>
      <c r="E365" s="24"/>
      <c r="F365" s="24" t="s">
        <v>7</v>
      </c>
      <c r="G365" s="38"/>
      <c r="H365" s="38"/>
      <c r="I365" s="38"/>
      <c r="J365" s="38"/>
      <c r="K365" s="24"/>
      <c r="L365" s="24"/>
      <c r="M365" s="38"/>
      <c r="N365" s="38">
        <v>-300429</v>
      </c>
      <c r="O365" s="24"/>
      <c r="P365" s="38">
        <f t="shared" si="101"/>
        <v>-300429</v>
      </c>
    </row>
    <row r="366" spans="1:16" x14ac:dyDescent="0.3">
      <c r="A366" s="70"/>
      <c r="B366" s="71"/>
      <c r="C366" s="78" t="s">
        <v>35</v>
      </c>
      <c r="D366" s="70"/>
      <c r="E366" s="70"/>
      <c r="F366" s="24" t="s">
        <v>7</v>
      </c>
      <c r="G366" s="70"/>
      <c r="H366" s="70"/>
      <c r="I366" s="70"/>
      <c r="J366" s="70"/>
      <c r="K366" s="70"/>
      <c r="L366" s="70"/>
      <c r="M366" s="72"/>
      <c r="N366" s="38">
        <v>-22425603</v>
      </c>
      <c r="O366" s="70"/>
      <c r="P366" s="38">
        <f t="shared" si="101"/>
        <v>-22425603</v>
      </c>
    </row>
    <row r="367" spans="1:16" x14ac:dyDescent="0.3">
      <c r="A367" s="70"/>
      <c r="B367" s="71"/>
      <c r="C367" s="76">
        <v>52</v>
      </c>
      <c r="D367" s="24" t="s">
        <v>331</v>
      </c>
      <c r="E367" s="24" t="s">
        <v>332</v>
      </c>
      <c r="F367" s="24" t="s">
        <v>7</v>
      </c>
      <c r="G367" s="70"/>
      <c r="H367" s="70"/>
      <c r="I367" s="70"/>
      <c r="J367" s="70"/>
      <c r="K367" s="70"/>
      <c r="L367" s="70"/>
      <c r="M367" s="72"/>
      <c r="N367" s="38">
        <v>-141000000</v>
      </c>
      <c r="O367" s="70"/>
      <c r="P367" s="38">
        <f t="shared" si="101"/>
        <v>-141000000</v>
      </c>
    </row>
    <row r="368" spans="1:16" s="34" customFormat="1" ht="13.2" x14ac:dyDescent="0.3">
      <c r="A368" s="24" t="s">
        <v>318</v>
      </c>
      <c r="B368" s="25" t="s">
        <v>321</v>
      </c>
      <c r="C368" s="24" t="s">
        <v>38</v>
      </c>
      <c r="D368" s="24"/>
      <c r="E368" s="24"/>
      <c r="F368" s="24" t="s">
        <v>7</v>
      </c>
      <c r="G368" s="38"/>
      <c r="H368" s="38"/>
      <c r="I368" s="38"/>
      <c r="J368" s="38"/>
      <c r="K368" s="24"/>
      <c r="L368" s="24"/>
      <c r="M368" s="38"/>
      <c r="N368" s="38">
        <v>-64125</v>
      </c>
      <c r="O368" s="24"/>
      <c r="P368" s="38">
        <f t="shared" si="101"/>
        <v>-64125</v>
      </c>
    </row>
    <row r="369" spans="1:16" s="34" customFormat="1" ht="13.2" x14ac:dyDescent="0.3">
      <c r="A369" s="24"/>
      <c r="B369" s="25"/>
      <c r="C369" s="24" t="s">
        <v>32</v>
      </c>
      <c r="D369" s="24"/>
      <c r="E369" s="24"/>
      <c r="F369" s="24" t="s">
        <v>7</v>
      </c>
      <c r="G369" s="38"/>
      <c r="H369" s="38"/>
      <c r="I369" s="38"/>
      <c r="J369" s="38"/>
      <c r="K369" s="24"/>
      <c r="L369" s="24"/>
      <c r="M369" s="38"/>
      <c r="N369" s="38">
        <v>-66000</v>
      </c>
      <c r="O369" s="24"/>
      <c r="P369" s="38">
        <f t="shared" si="101"/>
        <v>-66000</v>
      </c>
    </row>
    <row r="370" spans="1:16" s="34" customFormat="1" ht="13.2" x14ac:dyDescent="0.3">
      <c r="A370" s="50" t="s">
        <v>322</v>
      </c>
      <c r="B370" s="51"/>
      <c r="C370" s="52"/>
      <c r="D370" s="33"/>
      <c r="E370" s="33"/>
      <c r="F370" s="33"/>
      <c r="G370" s="31">
        <f>+SUBTOTAL(9, G372:G377)</f>
        <v>0</v>
      </c>
      <c r="H370" s="31">
        <f t="shared" ref="H370:N370" si="102">+SUBTOTAL(9, H372:H377)</f>
        <v>0</v>
      </c>
      <c r="I370" s="31">
        <f t="shared" si="102"/>
        <v>0</v>
      </c>
      <c r="J370" s="31">
        <f t="shared" si="102"/>
        <v>0</v>
      </c>
      <c r="K370" s="31">
        <f t="shared" si="102"/>
        <v>0</v>
      </c>
      <c r="L370" s="31">
        <f t="shared" si="102"/>
        <v>0</v>
      </c>
      <c r="M370" s="31">
        <f t="shared" si="102"/>
        <v>0</v>
      </c>
      <c r="N370" s="31">
        <f t="shared" si="102"/>
        <v>-974739.20000000007</v>
      </c>
      <c r="O370" s="31">
        <f t="shared" ref="O370:P370" si="103">+SUBTOTAL(9, O372:O377)</f>
        <v>0</v>
      </c>
      <c r="P370" s="31">
        <f t="shared" si="103"/>
        <v>-974739.20000000007</v>
      </c>
    </row>
    <row r="371" spans="1:16" s="34" customFormat="1" ht="13.2" x14ac:dyDescent="0.3">
      <c r="A371" s="84" t="s">
        <v>42</v>
      </c>
      <c r="B371" s="84"/>
      <c r="C371" s="35"/>
      <c r="D371" s="33"/>
      <c r="E371" s="33"/>
      <c r="F371" s="33"/>
      <c r="G371" s="31">
        <f t="shared" ref="G371:N371" si="104">+SUBTOTAL(9, G372:G377)</f>
        <v>0</v>
      </c>
      <c r="H371" s="31">
        <f t="shared" si="104"/>
        <v>0</v>
      </c>
      <c r="I371" s="31">
        <f t="shared" si="104"/>
        <v>0</v>
      </c>
      <c r="J371" s="31">
        <f t="shared" si="104"/>
        <v>0</v>
      </c>
      <c r="K371" s="31">
        <f t="shared" si="104"/>
        <v>0</v>
      </c>
      <c r="L371" s="31">
        <f t="shared" si="104"/>
        <v>0</v>
      </c>
      <c r="M371" s="31">
        <f t="shared" si="104"/>
        <v>0</v>
      </c>
      <c r="N371" s="31">
        <f t="shared" si="104"/>
        <v>-974739.20000000007</v>
      </c>
      <c r="O371" s="31">
        <f t="shared" ref="O371:P371" si="105">+SUBTOTAL(9, O372:O377)</f>
        <v>0</v>
      </c>
      <c r="P371" s="31">
        <f t="shared" si="105"/>
        <v>-974739.20000000007</v>
      </c>
    </row>
    <row r="372" spans="1:16" s="34" customFormat="1" ht="26.4" x14ac:dyDescent="0.3">
      <c r="A372" s="24" t="s">
        <v>323</v>
      </c>
      <c r="B372" s="25" t="s">
        <v>325</v>
      </c>
      <c r="C372" s="24" t="s">
        <v>38</v>
      </c>
      <c r="D372" s="24"/>
      <c r="E372" s="24"/>
      <c r="F372" s="24" t="s">
        <v>7</v>
      </c>
      <c r="G372" s="38"/>
      <c r="H372" s="38"/>
      <c r="I372" s="38"/>
      <c r="J372" s="38"/>
      <c r="K372" s="24"/>
      <c r="L372" s="24"/>
      <c r="M372" s="38"/>
      <c r="N372" s="38">
        <v>-226406.99999999991</v>
      </c>
      <c r="O372" s="24"/>
      <c r="P372" s="38">
        <f t="shared" si="101"/>
        <v>-226406.99999999991</v>
      </c>
    </row>
    <row r="373" spans="1:16" s="34" customFormat="1" ht="13.2" x14ac:dyDescent="0.3">
      <c r="A373" s="24"/>
      <c r="B373" s="24"/>
      <c r="C373" s="24" t="s">
        <v>38</v>
      </c>
      <c r="D373" s="24" t="s">
        <v>337</v>
      </c>
      <c r="E373" s="24" t="s">
        <v>338</v>
      </c>
      <c r="F373" s="24" t="s">
        <v>7</v>
      </c>
      <c r="G373" s="38"/>
      <c r="H373" s="38"/>
      <c r="I373" s="38"/>
      <c r="J373" s="38"/>
      <c r="K373" s="24"/>
      <c r="L373" s="24"/>
      <c r="M373" s="38"/>
      <c r="N373" s="38">
        <v>-150000</v>
      </c>
      <c r="O373" s="24"/>
      <c r="P373" s="38">
        <f t="shared" si="101"/>
        <v>-150000</v>
      </c>
    </row>
    <row r="374" spans="1:16" s="34" customFormat="1" ht="13.2" x14ac:dyDescent="0.3">
      <c r="B374" s="73"/>
      <c r="C374" s="74" t="s">
        <v>32</v>
      </c>
      <c r="D374" s="74"/>
      <c r="E374" s="74"/>
      <c r="F374" s="24" t="s">
        <v>7</v>
      </c>
      <c r="G374" s="75"/>
      <c r="H374" s="75"/>
      <c r="I374" s="75"/>
      <c r="J374" s="75"/>
      <c r="K374" s="74"/>
      <c r="L374" s="74"/>
      <c r="M374" s="38"/>
      <c r="N374" s="38">
        <v>-231621.2</v>
      </c>
      <c r="O374" s="24"/>
      <c r="P374" s="38">
        <f t="shared" si="101"/>
        <v>-231621.2</v>
      </c>
    </row>
    <row r="375" spans="1:16" s="34" customFormat="1" ht="26.4" x14ac:dyDescent="0.3">
      <c r="A375" s="24" t="s">
        <v>324</v>
      </c>
      <c r="B375" s="25" t="s">
        <v>326</v>
      </c>
      <c r="C375" s="24" t="s">
        <v>38</v>
      </c>
      <c r="D375" s="24"/>
      <c r="E375" s="24"/>
      <c r="F375" s="24" t="s">
        <v>7</v>
      </c>
      <c r="G375" s="38"/>
      <c r="H375" s="38"/>
      <c r="I375" s="38"/>
      <c r="J375" s="38"/>
      <c r="K375" s="24"/>
      <c r="L375" s="24"/>
      <c r="M375" s="38"/>
      <c r="N375" s="38">
        <v>-235401.00000000009</v>
      </c>
      <c r="O375" s="24"/>
      <c r="P375" s="38">
        <f t="shared" si="101"/>
        <v>-235401.00000000009</v>
      </c>
    </row>
    <row r="376" spans="1:16" s="34" customFormat="1" ht="13.2" x14ac:dyDescent="0.3">
      <c r="A376" s="24"/>
      <c r="B376" s="25"/>
      <c r="C376" s="24" t="s">
        <v>38</v>
      </c>
      <c r="D376" s="24" t="s">
        <v>337</v>
      </c>
      <c r="E376" s="24" t="s">
        <v>338</v>
      </c>
      <c r="F376" s="24" t="s">
        <v>7</v>
      </c>
      <c r="G376" s="38"/>
      <c r="H376" s="38"/>
      <c r="I376" s="38"/>
      <c r="J376" s="38"/>
      <c r="K376" s="24"/>
      <c r="L376" s="24"/>
      <c r="M376" s="38"/>
      <c r="N376" s="38">
        <v>-100000</v>
      </c>
      <c r="O376" s="24"/>
      <c r="P376" s="38">
        <f>+J376+K376+L376+M376+N376+O376</f>
        <v>-100000</v>
      </c>
    </row>
    <row r="377" spans="1:16" s="34" customFormat="1" ht="13.2" x14ac:dyDescent="0.3">
      <c r="A377" s="24"/>
      <c r="B377" s="25"/>
      <c r="C377" s="24" t="s">
        <v>32</v>
      </c>
      <c r="D377" s="24"/>
      <c r="E377" s="24"/>
      <c r="F377" s="24" t="s">
        <v>7</v>
      </c>
      <c r="G377" s="38"/>
      <c r="H377" s="38"/>
      <c r="I377" s="38"/>
      <c r="J377" s="38"/>
      <c r="K377" s="24"/>
      <c r="L377" s="24"/>
      <c r="M377" s="38"/>
      <c r="N377" s="38">
        <v>-31310.000000000011</v>
      </c>
      <c r="O377" s="24"/>
      <c r="P377" s="38">
        <f t="shared" ref="P377" si="106">+J377+K377+L377+M377+N377+O377</f>
        <v>-31310.000000000011</v>
      </c>
    </row>
    <row r="378" spans="1:16" s="34" customFormat="1" ht="13.2" x14ac:dyDescent="0.3">
      <c r="A378" s="28" t="s">
        <v>222</v>
      </c>
      <c r="B378" s="39"/>
      <c r="C378" s="35"/>
      <c r="D378" s="33"/>
      <c r="E378" s="33"/>
      <c r="F378" s="33"/>
      <c r="G378" s="22">
        <f>+SUBTOTAL(9, G379:G387)</f>
        <v>-12347102.449909998</v>
      </c>
      <c r="H378" s="22">
        <f t="shared" ref="H378:P378" si="107">+SUBTOTAL(9, H379:H387)</f>
        <v>0</v>
      </c>
      <c r="I378" s="22">
        <f t="shared" si="107"/>
        <v>835359</v>
      </c>
      <c r="J378" s="22">
        <f t="shared" si="107"/>
        <v>-11511743.449909998</v>
      </c>
      <c r="K378" s="22">
        <f t="shared" si="107"/>
        <v>-5000000</v>
      </c>
      <c r="L378" s="22">
        <f t="shared" si="107"/>
        <v>0</v>
      </c>
      <c r="M378" s="22">
        <f t="shared" si="107"/>
        <v>0</v>
      </c>
      <c r="N378" s="22">
        <f t="shared" si="107"/>
        <v>1608418.50012</v>
      </c>
      <c r="O378" s="22">
        <f t="shared" si="107"/>
        <v>0</v>
      </c>
      <c r="P378" s="22">
        <f t="shared" si="107"/>
        <v>-14903324.949789997</v>
      </c>
    </row>
    <row r="379" spans="1:16" s="34" customFormat="1" ht="13.2" x14ac:dyDescent="0.3">
      <c r="A379" s="24" t="s">
        <v>24</v>
      </c>
      <c r="B379" s="25" t="s">
        <v>25</v>
      </c>
      <c r="C379" s="24" t="s">
        <v>26</v>
      </c>
      <c r="D379" s="24"/>
      <c r="E379" s="24"/>
      <c r="F379" s="24" t="s">
        <v>254</v>
      </c>
      <c r="G379" s="38">
        <v>-8935094.9999799989</v>
      </c>
      <c r="H379" s="38"/>
      <c r="I379" s="38">
        <v>727020</v>
      </c>
      <c r="J379" s="38">
        <f t="shared" si="91"/>
        <v>-8208074.9999799989</v>
      </c>
      <c r="K379" s="24"/>
      <c r="L379" s="24"/>
      <c r="M379" s="38"/>
      <c r="N379" s="38">
        <v>156607.00001999998</v>
      </c>
      <c r="O379" s="24"/>
      <c r="P379" s="38">
        <f t="shared" ref="P379:P387" si="108">+J379+K379+L379+M379+N379+O379</f>
        <v>-8051467.9999599988</v>
      </c>
    </row>
    <row r="380" spans="1:16" s="34" customFormat="1" ht="13.2" x14ac:dyDescent="0.3">
      <c r="A380" s="24"/>
      <c r="B380" s="25"/>
      <c r="C380" s="24" t="s">
        <v>26</v>
      </c>
      <c r="D380" s="24" t="s">
        <v>87</v>
      </c>
      <c r="E380" s="24" t="s">
        <v>88</v>
      </c>
      <c r="F380" s="24" t="s">
        <v>223</v>
      </c>
      <c r="G380" s="38">
        <v>-1622196.99994</v>
      </c>
      <c r="H380" s="38"/>
      <c r="I380" s="38">
        <v>28140</v>
      </c>
      <c r="J380" s="38">
        <f t="shared" si="91"/>
        <v>-1594056.99994</v>
      </c>
      <c r="K380" s="24"/>
      <c r="L380" s="24"/>
      <c r="M380" s="38"/>
      <c r="N380" s="38">
        <v>327711.00003</v>
      </c>
      <c r="O380" s="24"/>
      <c r="P380" s="38">
        <f t="shared" si="108"/>
        <v>-1266345.99991</v>
      </c>
    </row>
    <row r="381" spans="1:16" s="34" customFormat="1" ht="13.2" x14ac:dyDescent="0.3">
      <c r="A381" s="24"/>
      <c r="B381" s="25"/>
      <c r="C381" s="24" t="s">
        <v>26</v>
      </c>
      <c r="D381" s="24" t="s">
        <v>157</v>
      </c>
      <c r="E381" s="24" t="s">
        <v>158</v>
      </c>
      <c r="F381" s="42" t="s">
        <v>6</v>
      </c>
      <c r="G381" s="38">
        <v>-80199</v>
      </c>
      <c r="H381" s="38"/>
      <c r="I381" s="38">
        <v>80199</v>
      </c>
      <c r="J381" s="38">
        <f t="shared" si="91"/>
        <v>0</v>
      </c>
      <c r="K381" s="24"/>
      <c r="L381" s="24"/>
      <c r="M381" s="38"/>
      <c r="N381" s="38"/>
      <c r="O381" s="24"/>
      <c r="P381" s="38">
        <f t="shared" si="108"/>
        <v>0</v>
      </c>
    </row>
    <row r="382" spans="1:16" s="34" customFormat="1" ht="13.2" x14ac:dyDescent="0.3">
      <c r="A382" s="24"/>
      <c r="B382" s="25"/>
      <c r="C382" s="24" t="s">
        <v>26</v>
      </c>
      <c r="D382" s="24" t="s">
        <v>216</v>
      </c>
      <c r="E382" s="24" t="s">
        <v>217</v>
      </c>
      <c r="F382" s="24" t="s">
        <v>7</v>
      </c>
      <c r="G382" s="38">
        <v>-13142.449999999999</v>
      </c>
      <c r="H382" s="38"/>
      <c r="I382" s="38"/>
      <c r="J382" s="38">
        <f t="shared" si="91"/>
        <v>-13142.449999999999</v>
      </c>
      <c r="K382" s="24"/>
      <c r="L382" s="24"/>
      <c r="M382" s="38"/>
      <c r="N382" s="38"/>
      <c r="O382" s="24"/>
      <c r="P382" s="38">
        <f t="shared" si="108"/>
        <v>-13142.449999999999</v>
      </c>
    </row>
    <row r="383" spans="1:16" s="34" customFormat="1" ht="13.2" x14ac:dyDescent="0.3">
      <c r="A383" s="24"/>
      <c r="B383" s="25"/>
      <c r="C383" s="24" t="s">
        <v>26</v>
      </c>
      <c r="D383" s="24" t="s">
        <v>218</v>
      </c>
      <c r="E383" s="24" t="s">
        <v>219</v>
      </c>
      <c r="F383" s="24" t="s">
        <v>7</v>
      </c>
      <c r="G383" s="38">
        <v>-2800</v>
      </c>
      <c r="H383" s="38"/>
      <c r="I383" s="38"/>
      <c r="J383" s="38">
        <f t="shared" si="91"/>
        <v>-2800</v>
      </c>
      <c r="K383" s="24"/>
      <c r="L383" s="24"/>
      <c r="M383" s="38"/>
      <c r="N383" s="38"/>
      <c r="O383" s="24"/>
      <c r="P383" s="38">
        <f t="shared" si="108"/>
        <v>-2800</v>
      </c>
    </row>
    <row r="384" spans="1:16" s="34" customFormat="1" ht="13.2" x14ac:dyDescent="0.3">
      <c r="A384" s="24"/>
      <c r="B384" s="25"/>
      <c r="C384" s="24" t="s">
        <v>26</v>
      </c>
      <c r="D384" s="24" t="s">
        <v>296</v>
      </c>
      <c r="E384" s="24" t="s">
        <v>297</v>
      </c>
      <c r="F384" s="24" t="s">
        <v>7</v>
      </c>
      <c r="G384" s="38"/>
      <c r="H384" s="38"/>
      <c r="I384" s="38"/>
      <c r="J384" s="38">
        <v>0</v>
      </c>
      <c r="K384" s="38">
        <v>-5000000</v>
      </c>
      <c r="L384" s="38"/>
      <c r="M384" s="38"/>
      <c r="N384" s="38"/>
      <c r="O384" s="24"/>
      <c r="P384" s="38">
        <f t="shared" si="108"/>
        <v>-5000000</v>
      </c>
    </row>
    <row r="385" spans="1:16" s="34" customFormat="1" ht="13.2" x14ac:dyDescent="0.3">
      <c r="A385" s="24"/>
      <c r="B385" s="25"/>
      <c r="C385" s="24" t="s">
        <v>32</v>
      </c>
      <c r="D385" s="24" t="s">
        <v>21</v>
      </c>
      <c r="E385" s="24" t="s">
        <v>21</v>
      </c>
      <c r="F385" s="24" t="s">
        <v>7</v>
      </c>
      <c r="G385" s="38">
        <v>-393668.99998999998</v>
      </c>
      <c r="H385" s="38"/>
      <c r="I385" s="38"/>
      <c r="J385" s="38">
        <f t="shared" si="91"/>
        <v>-393668.99998999998</v>
      </c>
      <c r="K385" s="24"/>
      <c r="L385" s="24"/>
      <c r="M385" s="38"/>
      <c r="N385" s="38">
        <v>58100.500060000006</v>
      </c>
      <c r="O385" s="24"/>
      <c r="P385" s="38">
        <f t="shared" si="108"/>
        <v>-335568.49992999999</v>
      </c>
    </row>
    <row r="386" spans="1:16" s="34" customFormat="1" ht="13.2" x14ac:dyDescent="0.3">
      <c r="A386" s="24"/>
      <c r="B386" s="25"/>
      <c r="C386" s="24" t="s">
        <v>32</v>
      </c>
      <c r="D386" s="24" t="s">
        <v>87</v>
      </c>
      <c r="E386" s="24" t="s">
        <v>88</v>
      </c>
      <c r="F386" s="24" t="s">
        <v>224</v>
      </c>
      <c r="G386" s="38">
        <v>-100000</v>
      </c>
      <c r="H386" s="38"/>
      <c r="I386" s="38"/>
      <c r="J386" s="38">
        <f t="shared" si="91"/>
        <v>-100000</v>
      </c>
      <c r="K386" s="24"/>
      <c r="L386" s="24"/>
      <c r="M386" s="38"/>
      <c r="N386" s="38"/>
      <c r="O386" s="24"/>
      <c r="P386" s="38">
        <f t="shared" si="108"/>
        <v>-100000</v>
      </c>
    </row>
    <row r="387" spans="1:16" s="34" customFormat="1" ht="13.2" x14ac:dyDescent="0.3">
      <c r="A387" s="24"/>
      <c r="B387" s="25"/>
      <c r="C387" s="24" t="s">
        <v>32</v>
      </c>
      <c r="D387" s="24" t="s">
        <v>159</v>
      </c>
      <c r="E387" s="24" t="s">
        <v>160</v>
      </c>
      <c r="F387" s="24" t="s">
        <v>6</v>
      </c>
      <c r="G387" s="38">
        <v>-1200000</v>
      </c>
      <c r="H387" s="38"/>
      <c r="I387" s="38"/>
      <c r="J387" s="38">
        <f t="shared" si="91"/>
        <v>-1200000</v>
      </c>
      <c r="K387" s="24"/>
      <c r="L387" s="24"/>
      <c r="M387" s="38"/>
      <c r="N387" s="38">
        <v>1066000.0000100001</v>
      </c>
      <c r="O387" s="24"/>
      <c r="P387" s="38">
        <f t="shared" si="108"/>
        <v>-133999.99998999992</v>
      </c>
    </row>
    <row r="389" spans="1:16" ht="14.4" customHeight="1" x14ac:dyDescent="0.3">
      <c r="A389" s="83" t="s">
        <v>298</v>
      </c>
      <c r="B389" s="83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</row>
    <row r="390" spans="1:16" x14ac:dyDescent="0.3">
      <c r="A390" s="83"/>
      <c r="B390" s="83"/>
      <c r="C390" s="83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</row>
    <row r="391" spans="1:16" x14ac:dyDescent="0.3">
      <c r="A391" s="43"/>
      <c r="B391" s="43"/>
      <c r="C391" s="43"/>
      <c r="D391" s="43"/>
      <c r="E391" s="43"/>
      <c r="F391" s="43"/>
      <c r="G391" s="43"/>
      <c r="H391" s="43"/>
      <c r="I391" s="43"/>
    </row>
    <row r="392" spans="1:16" x14ac:dyDescent="0.3">
      <c r="A392" s="44" t="s">
        <v>299</v>
      </c>
      <c r="B392" s="45"/>
      <c r="C392" s="46"/>
      <c r="D392" s="46"/>
      <c r="E392" s="46"/>
      <c r="F392" s="46"/>
    </row>
    <row r="393" spans="1:16" x14ac:dyDescent="0.3">
      <c r="A393" s="46"/>
      <c r="B393" s="45"/>
      <c r="C393" s="46"/>
      <c r="D393" s="46"/>
      <c r="E393" s="46"/>
      <c r="F393" s="46"/>
    </row>
  </sheetData>
  <autoFilter ref="A15:P387" xr:uid="{1E5759E2-5546-46B9-8053-CA8F276B3268}"/>
  <mergeCells count="21">
    <mergeCell ref="A371:B371"/>
    <mergeCell ref="A173:B173"/>
    <mergeCell ref="A175:B175"/>
    <mergeCell ref="A353:B353"/>
    <mergeCell ref="A355:B355"/>
    <mergeCell ref="J2:P3"/>
    <mergeCell ref="A389:P390"/>
    <mergeCell ref="A199:B199"/>
    <mergeCell ref="A229:C229"/>
    <mergeCell ref="A230:B230"/>
    <mergeCell ref="A233:B233"/>
    <mergeCell ref="A269:B269"/>
    <mergeCell ref="A275:B275"/>
    <mergeCell ref="A197:B197"/>
    <mergeCell ref="A18:B18"/>
    <mergeCell ref="A32:B32"/>
    <mergeCell ref="A34:B34"/>
    <mergeCell ref="A99:C99"/>
    <mergeCell ref="A100:B100"/>
    <mergeCell ref="A101:B101"/>
    <mergeCell ref="A106:B106"/>
  </mergeCells>
  <phoneticPr fontId="22" type="noConversion"/>
  <pageMargins left="0.31496062992125984" right="0.31496062992125984" top="0.27559055118110237" bottom="0.51181102362204722" header="0.31496062992125984" footer="0.31496062992125984"/>
  <pageSetup paperSize="9" scale="90" orientation="landscape" r:id="rId1"/>
  <headerFooter>
    <oddFooter>Lk &amp;P &amp;N-st</oddFooter>
  </headerFooter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 MKM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</cp:lastModifiedBy>
  <cp:lastPrinted>2022-12-30T15:16:47Z</cp:lastPrinted>
  <dcterms:created xsi:type="dcterms:W3CDTF">2022-12-29T18:07:04Z</dcterms:created>
  <dcterms:modified xsi:type="dcterms:W3CDTF">2023-08-04T06:53:47Z</dcterms:modified>
</cp:coreProperties>
</file>